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vbaProject.bin" ContentType="application/vnd.ms-office.vbaProject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omments14.xml" ContentType="application/vnd.openxmlformats-officedocument.spreadsheetml.comments+xml"/>
  <Override PartName="/xl/comments15.xml" ContentType="application/vnd.openxmlformats-officedocument.spreadsheetml.comments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 codeName="{37E998C4-C9E5-D4B9-71C8-EB1FF731991C}"/>
  <workbookPr codeName="ЭтаКнига" defaultThemeVersion="124226"/>
  <bookViews>
    <workbookView xWindow="120" yWindow="45" windowWidth="19020" windowHeight="7740" tabRatio="816"/>
  </bookViews>
  <sheets>
    <sheet name="Таблица 1" sheetId="1" r:id="rId1"/>
    <sheet name="Таблица 2" sheetId="2" r:id="rId2"/>
    <sheet name="Таблица 3" sheetId="3" r:id="rId3"/>
    <sheet name="Таблица 4" sheetId="4" r:id="rId4"/>
    <sheet name="Таблица 5" sheetId="5" r:id="rId5"/>
    <sheet name="Таблица 6" sheetId="6" r:id="rId6"/>
    <sheet name="Таблица 7" sheetId="7" r:id="rId7"/>
    <sheet name="Таблица 8" sheetId="8" r:id="rId8"/>
    <sheet name="Таблица 9" sheetId="9" r:id="rId9"/>
    <sheet name="Таблица 10" sheetId="10" r:id="rId10"/>
    <sheet name="Таблица 11" sheetId="22" r:id="rId11"/>
    <sheet name="Таблица 12" sheetId="23" r:id="rId12"/>
    <sheet name="Таблица 13" sheetId="24" r:id="rId13"/>
    <sheet name="Таблица 14" sheetId="25" r:id="rId14"/>
    <sheet name="Таблица 15" sheetId="26" r:id="rId15"/>
    <sheet name="Таблица 16" sheetId="27" r:id="rId16"/>
    <sheet name="Таблица 17" sheetId="29" r:id="rId17"/>
    <sheet name="Таблица 18" sheetId="30" r:id="rId18"/>
    <sheet name="Таблица 19" sheetId="31" r:id="rId19"/>
  </sheets>
  <definedNames>
    <definedName name="вычислить.G10.10">EVALUATE('Таблица 10'!$F$9)</definedName>
    <definedName name="вычислить.G10.11">EVALUATE('Таблица 10'!$F$10)</definedName>
    <definedName name="вычислить.g16.10">EVALUATE('Таблица 16'!$F$10)</definedName>
    <definedName name="вычислить.g16.11">EVALUATE('Таблица 16'!$F$11)</definedName>
    <definedName name="вычислить.G16.12">EVALUATE('Таблица 16'!$F$12)</definedName>
    <definedName name="вычислить.g16.8">EVALUATE('Таблица 16'!$F$8)</definedName>
    <definedName name="вычислить.g16.9">EVALUATE('Таблица 16'!$F$9)</definedName>
    <definedName name="вычислить.g19.10">EVALUATE('Таблица 19'!$F$10)</definedName>
    <definedName name="вычислить.G19.9">EVALUATE('Таблица 19'!$F$9)</definedName>
    <definedName name="вычислить.G69">EVALUATE('Таблица 6'!$G$9)</definedName>
    <definedName name="ВЫЧИСЛИТЬ.G9">EVALUATE('Таблица 4'!$F$9)</definedName>
    <definedName name="вычислить.G9.10">EVALUATE('Таблица 10'!$F$8)</definedName>
    <definedName name="вычислить.h10">EVALUATE('Таблица 6'!$G$10)</definedName>
    <definedName name="вычислить.h13">EVALUATE('Таблица 6'!$G$13)</definedName>
    <definedName name="вычислить.H14">EVALUATE('Таблица 6'!$G$14)</definedName>
    <definedName name="вычислить.h17">EVALUATE('Таблица 6'!$G$17)</definedName>
    <definedName name="вычислить.h17.16">EVALUATE('Таблица 17'!$D$14)</definedName>
    <definedName name="вычислить.h17.21">EVALUATE('Таблица 17'!$D$15)</definedName>
    <definedName name="вычислить.h18">EVALUATE('Таблица 6'!$G$18)</definedName>
    <definedName name="вычислить.J12.10">EVALUATE('Таблица 12'!$I$9)</definedName>
    <definedName name="вычислить.J12.11">EVALUATE('Таблица 12'!$I$10)</definedName>
    <definedName name="вычислить.J12.12">EVALUATE('Таблица 12'!$I$11)</definedName>
    <definedName name="вычислить.J12.13">EVALUATE('Таблица 12'!$I$12)</definedName>
    <definedName name="вычислить.J12.9">EVALUATE('Таблица 12'!$I$8)</definedName>
    <definedName name="вычислить.Е10.10">EVALUATE('Таблица 10'!$D$9)</definedName>
    <definedName name="вычислить.Е10.11">EVALUATE('Таблица 10'!$D$10)</definedName>
    <definedName name="ВЫЧИСЛИТЬ.е8">EVALUATE('Таблица 4'!$D$8)</definedName>
    <definedName name="ВЫЧИСЛИТЬ.е9">EVALUATE('Таблица 4'!$D$9)</definedName>
    <definedName name="вычислить.Е9.10">EVALUATE('Таблица 10'!$D$8)</definedName>
    <definedName name="вычислить.к18.40">EVALUATE('Таблица 18'!$C$40)</definedName>
    <definedName name="вычислить.К18.41">EVALUATE('Таблица 18'!$F$34)</definedName>
    <definedName name="вычислить.К18.43">EVALUATE('Таблица 18'!$G$36)</definedName>
    <definedName name="ВЫЧИСЛИТЬg8">EVALUATE('Таблица 4'!$F$8)</definedName>
    <definedName name="_xlnm.Print_Area" localSheetId="0">'Таблица 1'!$B$4:$G$21</definedName>
    <definedName name="_xlnm.Print_Area" localSheetId="9">'Таблица 10'!$B$2:$H$12</definedName>
    <definedName name="_xlnm.Print_Area" localSheetId="10">'Таблица 11'!$B$2:$J$13</definedName>
    <definedName name="_xlnm.Print_Area" localSheetId="11">'Таблица 12'!$B$2:$K$13</definedName>
    <definedName name="_xlnm.Print_Area" localSheetId="12">'Таблица 13'!$B$2:$H$24</definedName>
    <definedName name="_xlnm.Print_Area" localSheetId="13">'Таблица 14'!$B$2:$H$16</definedName>
    <definedName name="_xlnm.Print_Area" localSheetId="14">'Таблица 15'!$B$2:$G$12</definedName>
    <definedName name="_xlnm.Print_Area" localSheetId="15">'Таблица 16'!$B$2:$H$13</definedName>
    <definedName name="_xlnm.Print_Area" localSheetId="16">'Таблица 17'!$B$2:$I$16</definedName>
    <definedName name="_xlnm.Print_Area" localSheetId="17">'Таблица 18'!$B$2:$L$36</definedName>
    <definedName name="_xlnm.Print_Area" localSheetId="18">'Таблица 19'!$B$2:$H$16</definedName>
    <definedName name="_xlnm.Print_Area" localSheetId="1">'Таблица 2'!$B$2:$K$13</definedName>
    <definedName name="_xlnm.Print_Area" localSheetId="2">'Таблица 3'!$B$2:$H$11</definedName>
    <definedName name="_xlnm.Print_Area" localSheetId="3">'Таблица 4'!$B$2:$H$11</definedName>
    <definedName name="_xlnm.Print_Area" localSheetId="4">'Таблица 5'!$B$2:$H$17</definedName>
    <definedName name="_xlnm.Print_Area" localSheetId="5">'Таблица 6'!$B$2:$I$20</definedName>
    <definedName name="_xlnm.Print_Area" localSheetId="6">'Таблица 7'!$B$2:$K$16</definedName>
    <definedName name="_xlnm.Print_Area" localSheetId="7">'Таблица 8'!$B$2:$K$13</definedName>
    <definedName name="_xlnm.Print_Area" localSheetId="8">'Таблица 9'!$B$2:$K$15</definedName>
  </definedNames>
  <calcPr calcId="124519"/>
</workbook>
</file>

<file path=xl/calcChain.xml><?xml version="1.0" encoding="utf-8"?>
<calcChain xmlns="http://schemas.openxmlformats.org/spreadsheetml/2006/main">
  <c r="F9" i="31"/>
  <c r="F11" i="9"/>
  <c r="D11"/>
  <c r="D12"/>
  <c r="F12"/>
  <c r="E10" i="24" s="1"/>
  <c r="E8" i="8"/>
  <c r="E10" s="1"/>
  <c r="D9"/>
  <c r="F9"/>
  <c r="G9" s="1"/>
  <c r="H11" i="9"/>
  <c r="J11"/>
  <c r="D10"/>
  <c r="D9" i="25" s="1"/>
  <c r="E12" i="8"/>
  <c r="H9"/>
  <c r="J10" i="7"/>
  <c r="J12"/>
  <c r="J13"/>
  <c r="J14"/>
  <c r="H10"/>
  <c r="H12"/>
  <c r="H13"/>
  <c r="H14"/>
  <c r="D9" i="6"/>
  <c r="F9" s="1"/>
  <c r="E9"/>
  <c r="D13"/>
  <c r="E13"/>
  <c r="D17"/>
  <c r="E17"/>
  <c r="F11" i="2"/>
  <c r="H11" s="1"/>
  <c r="D11"/>
  <c r="D13" i="9" s="1"/>
  <c r="E10" i="2"/>
  <c r="F9"/>
  <c r="D9"/>
  <c r="I9" s="1"/>
  <c r="D8"/>
  <c r="D8" i="27" s="1"/>
  <c r="F8" i="2"/>
  <c r="E12"/>
  <c r="E14" i="1"/>
  <c r="F14"/>
  <c r="E16"/>
  <c r="F16"/>
  <c r="E18"/>
  <c r="F18"/>
  <c r="H20" i="30"/>
  <c r="F20"/>
  <c r="F23" s="1"/>
  <c r="H19"/>
  <c r="F19"/>
  <c r="F9"/>
  <c r="F7"/>
  <c r="E13" s="1"/>
  <c r="F9" i="29"/>
  <c r="F7"/>
  <c r="G20" i="24"/>
  <c r="F20"/>
  <c r="G18"/>
  <c r="F18"/>
  <c r="G16"/>
  <c r="F16"/>
  <c r="G14"/>
  <c r="F14"/>
  <c r="G12"/>
  <c r="F12"/>
  <c r="E10" i="23"/>
  <c r="H10" s="1"/>
  <c r="D10"/>
  <c r="D10" i="27" s="1"/>
  <c r="E9" i="23"/>
  <c r="H9" s="1"/>
  <c r="D9"/>
  <c r="F9" s="1"/>
  <c r="D10" i="24"/>
  <c r="H9" i="2"/>
  <c r="G9" i="23"/>
  <c r="F12" i="2"/>
  <c r="H12" s="1"/>
  <c r="D10" i="25"/>
  <c r="E14" i="6"/>
  <c r="E22" i="24"/>
  <c r="E10" i="25"/>
  <c r="D8" i="24"/>
  <c r="D12" i="2"/>
  <c r="D9" i="27" s="1"/>
  <c r="D10" i="6"/>
  <c r="J8" i="2"/>
  <c r="D18" i="6"/>
  <c r="E10" i="27"/>
  <c r="D22" i="24"/>
  <c r="G22" s="1"/>
  <c r="J9" i="2"/>
  <c r="D10"/>
  <c r="D8" i="25"/>
  <c r="G11" i="2"/>
  <c r="G9"/>
  <c r="J12"/>
  <c r="D11" i="27"/>
  <c r="G10" i="23"/>
  <c r="F10"/>
  <c r="F22" i="24"/>
  <c r="G9" i="31"/>
  <c r="D9" i="4" l="1"/>
  <c r="G9" i="6"/>
  <c r="D11" i="23"/>
  <c r="F17" i="6"/>
  <c r="G17" s="1"/>
  <c r="F13"/>
  <c r="D14" i="31"/>
  <c r="G23" i="30"/>
  <c r="F10" i="24"/>
  <c r="G10"/>
  <c r="G11" i="23"/>
  <c r="E11"/>
  <c r="E11" i="27"/>
  <c r="H8" i="2"/>
  <c r="D8" i="4" s="1"/>
  <c r="I9" i="8"/>
  <c r="D9" i="10"/>
  <c r="I12" i="2"/>
  <c r="F9" i="4" s="1"/>
  <c r="I11" i="2"/>
  <c r="F8" i="8"/>
  <c r="J11" i="2"/>
  <c r="D19" i="30"/>
  <c r="D8" i="8"/>
  <c r="D10" s="1"/>
  <c r="E8" i="24"/>
  <c r="F10" i="2"/>
  <c r="E10" i="6"/>
  <c r="F10" s="1"/>
  <c r="G10" s="1"/>
  <c r="G8" i="2"/>
  <c r="D8" i="23"/>
  <c r="F13" i="9"/>
  <c r="J9" i="8"/>
  <c r="F10" i="9"/>
  <c r="H12"/>
  <c r="J12"/>
  <c r="F9" i="10"/>
  <c r="F9" i="9"/>
  <c r="G12" s="1"/>
  <c r="E9" i="27"/>
  <c r="I8" i="2"/>
  <c r="F8" i="4" s="1"/>
  <c r="E8" i="27"/>
  <c r="G12" i="2"/>
  <c r="E8" i="23"/>
  <c r="F10" i="8"/>
  <c r="D14" i="6"/>
  <c r="F14" s="1"/>
  <c r="G14" s="1"/>
  <c r="D9" i="9"/>
  <c r="E13" s="1"/>
  <c r="E18" i="6"/>
  <c r="F18" s="1"/>
  <c r="G18" s="1"/>
  <c r="E8" i="25"/>
  <c r="G8" s="1"/>
  <c r="F10"/>
  <c r="G10"/>
  <c r="H17" i="6"/>
  <c r="E9" i="10"/>
  <c r="G9"/>
  <c r="G9" i="4"/>
  <c r="H18" i="6"/>
  <c r="H9"/>
  <c r="H14"/>
  <c r="H10"/>
  <c r="E9" i="4"/>
  <c r="G8"/>
  <c r="E8"/>
  <c r="F10" i="27" l="1"/>
  <c r="F8"/>
  <c r="F11"/>
  <c r="F9"/>
  <c r="H11" i="23"/>
  <c r="F11"/>
  <c r="F34" i="30"/>
  <c r="H11" i="6"/>
  <c r="H19"/>
  <c r="G10" i="4"/>
  <c r="E10"/>
  <c r="I10" i="8"/>
  <c r="F10" i="10" s="1"/>
  <c r="J10" i="8"/>
  <c r="G10"/>
  <c r="H10"/>
  <c r="D10" i="10" s="1"/>
  <c r="G10" i="9"/>
  <c r="J10"/>
  <c r="E9" i="25"/>
  <c r="H10" i="9"/>
  <c r="G13" i="6"/>
  <c r="G8" i="24"/>
  <c r="F8"/>
  <c r="J8" i="8"/>
  <c r="H8"/>
  <c r="D8" i="10" s="1"/>
  <c r="G8" i="8"/>
  <c r="I8"/>
  <c r="E9" i="9"/>
  <c r="E12"/>
  <c r="I12" s="1"/>
  <c r="E10"/>
  <c r="H9"/>
  <c r="G11"/>
  <c r="J9"/>
  <c r="G9"/>
  <c r="D8" i="29"/>
  <c r="D12" i="23"/>
  <c r="H10" i="2"/>
  <c r="G10"/>
  <c r="J10"/>
  <c r="I10"/>
  <c r="G8" i="23"/>
  <c r="G12" s="1"/>
  <c r="E12"/>
  <c r="H8"/>
  <c r="H12" s="1"/>
  <c r="F8"/>
  <c r="D10" i="29"/>
  <c r="G13" i="9"/>
  <c r="I13" s="1"/>
  <c r="J13"/>
  <c r="H13"/>
  <c r="F8" i="25"/>
  <c r="E11" i="9"/>
  <c r="G8" i="27"/>
  <c r="G10"/>
  <c r="G10" i="10"/>
  <c r="K34" i="30"/>
  <c r="E8" i="10"/>
  <c r="E10"/>
  <c r="G11" i="27"/>
  <c r="H13" i="6"/>
  <c r="G9" i="27"/>
  <c r="G36" i="30" l="1"/>
  <c r="F12" i="27"/>
  <c r="F12" i="23"/>
  <c r="E11" i="10"/>
  <c r="H15" i="6"/>
  <c r="F9" i="7"/>
  <c r="E10" i="29"/>
  <c r="I11" i="23"/>
  <c r="E11" i="25"/>
  <c r="I12" i="23"/>
  <c r="I8"/>
  <c r="I10"/>
  <c r="F9" i="25"/>
  <c r="G9"/>
  <c r="I9" i="9"/>
  <c r="D9" i="7"/>
  <c r="E8" i="29"/>
  <c r="D11" i="25"/>
  <c r="I11" i="9"/>
  <c r="I9" i="23"/>
  <c r="I10" i="9"/>
  <c r="K36" i="30"/>
  <c r="J10" i="23"/>
  <c r="J11"/>
  <c r="J12"/>
  <c r="J8"/>
  <c r="J9"/>
  <c r="G11" i="25" l="1"/>
  <c r="F11"/>
  <c r="E14"/>
  <c r="E13"/>
  <c r="E15"/>
  <c r="F14" i="9"/>
  <c r="F12" i="1"/>
  <c r="F11" i="8"/>
  <c r="F11" i="7"/>
  <c r="H9"/>
  <c r="J9"/>
  <c r="E12" i="1"/>
  <c r="D11" i="7"/>
  <c r="D14" i="9"/>
  <c r="D11" i="8"/>
  <c r="D12" s="1"/>
  <c r="F8" i="10" s="1"/>
  <c r="F8" i="29"/>
  <c r="F8" i="30"/>
  <c r="D14" i="25"/>
  <c r="D15"/>
  <c r="D13"/>
  <c r="F10" i="30"/>
  <c r="E14" s="1"/>
  <c r="D20" s="1"/>
  <c r="D23" s="1"/>
  <c r="F24" s="1"/>
  <c r="F10" i="29"/>
  <c r="G8" i="10"/>
  <c r="G11" l="1"/>
  <c r="F15" i="7"/>
  <c r="H11"/>
  <c r="F15" i="25"/>
  <c r="G15"/>
  <c r="E11" i="31"/>
  <c r="D15" s="1"/>
  <c r="G10" i="29"/>
  <c r="E14" i="9"/>
  <c r="H11" i="8"/>
  <c r="J11"/>
  <c r="G11"/>
  <c r="F12"/>
  <c r="I11"/>
  <c r="F13" i="25"/>
  <c r="D11" i="31"/>
  <c r="E12" i="27"/>
  <c r="G13" i="25"/>
  <c r="D10" i="31"/>
  <c r="D12" i="27"/>
  <c r="G8" i="29"/>
  <c r="E10" i="31"/>
  <c r="G9" i="29"/>
  <c r="H14" i="9"/>
  <c r="G14"/>
  <c r="I14" s="1"/>
  <c r="J14"/>
  <c r="G30" i="30"/>
  <c r="G28"/>
  <c r="F25"/>
  <c r="D15" i="7"/>
  <c r="J11"/>
  <c r="F14" i="25"/>
  <c r="G14"/>
  <c r="F10" i="31" l="1"/>
  <c r="H12" i="29"/>
  <c r="D14" s="1"/>
  <c r="J15" i="7"/>
  <c r="D7" i="24"/>
  <c r="E13" i="7"/>
  <c r="E14"/>
  <c r="E10"/>
  <c r="E12"/>
  <c r="E9"/>
  <c r="E11"/>
  <c r="G12" i="8"/>
  <c r="I12"/>
  <c r="H12"/>
  <c r="J12"/>
  <c r="G13" i="7"/>
  <c r="I13" s="1"/>
  <c r="G14"/>
  <c r="I14" s="1"/>
  <c r="E7" i="24"/>
  <c r="G10" i="7"/>
  <c r="G12"/>
  <c r="H15"/>
  <c r="G9"/>
  <c r="C30" i="30"/>
  <c r="I30" s="1"/>
  <c r="E32" s="1"/>
  <c r="C28"/>
  <c r="I28" s="1"/>
  <c r="C32" s="1"/>
  <c r="G11" i="7"/>
  <c r="I11" s="1"/>
  <c r="H14" i="29"/>
  <c r="G10" i="31"/>
  <c r="I12" i="7" l="1"/>
  <c r="F14" i="31"/>
  <c r="F15" s="1"/>
  <c r="D15" i="29"/>
  <c r="G32" i="30"/>
  <c r="D19" i="24"/>
  <c r="D15"/>
  <c r="D17"/>
  <c r="D13"/>
  <c r="D21"/>
  <c r="D11"/>
  <c r="D9"/>
  <c r="D23"/>
  <c r="I9" i="7"/>
  <c r="G15"/>
  <c r="E23" i="24"/>
  <c r="E17"/>
  <c r="E19"/>
  <c r="E13"/>
  <c r="E9"/>
  <c r="E11"/>
  <c r="E15"/>
  <c r="G7"/>
  <c r="F7"/>
  <c r="E21"/>
  <c r="E15" i="7"/>
  <c r="I10"/>
  <c r="H15" i="29"/>
  <c r="C40" i="30" l="1"/>
  <c r="F9" i="24"/>
  <c r="G9"/>
  <c r="G23"/>
  <c r="F23"/>
  <c r="G21"/>
  <c r="F21"/>
  <c r="G11"/>
  <c r="F11"/>
  <c r="F17"/>
  <c r="G17"/>
  <c r="G15"/>
  <c r="F15"/>
  <c r="F19"/>
  <c r="G19"/>
  <c r="F13"/>
  <c r="G13"/>
  <c r="I15" i="7"/>
  <c r="K40" i="30"/>
  <c r="G12" i="27"/>
</calcChain>
</file>

<file path=xl/comments1.xml><?xml version="1.0" encoding="utf-8"?>
<comments xmlns="http://schemas.openxmlformats.org/spreadsheetml/2006/main">
  <authors>
    <author>kruglov</author>
  </authors>
  <commentList>
    <comment ref="F4" authorId="0">
      <text>
        <r>
          <rPr>
            <sz val="10"/>
            <color indexed="81"/>
            <rFont val="Arial Cyr"/>
            <charset val="204"/>
          </rPr>
          <t>1. Синий цвет цифр означает, что расчеты произведены в данном листе.
2. Зеленый цвет цифр означает, что данные импортированы из другого листа.
3. Голубой цвет заливки - в эти ячейки данные вносятся вручную</t>
        </r>
      </text>
    </comment>
  </commentList>
</comments>
</file>

<file path=xl/comments10.xml><?xml version="1.0" encoding="utf-8"?>
<comments xmlns="http://schemas.openxmlformats.org/spreadsheetml/2006/main">
  <authors>
    <author>kruglov</author>
  </authors>
  <commentList>
    <comment ref="F3" authorId="0">
      <text>
        <r>
          <rPr>
            <sz val="10"/>
            <color indexed="81"/>
            <rFont val="Arial Cyr"/>
            <charset val="204"/>
          </rPr>
          <t>1. Синий цвет цифр означает, что расчеты произведены в данном листе.
2. Зеленый цвет цифр означает, что данные импортированы из другого листа и над ними произведены вычисления.
3. Голубой цвет заливки - в эти ячейки данные вносятся вручную</t>
        </r>
      </text>
    </comment>
  </commentList>
</comments>
</file>

<file path=xl/comments11.xml><?xml version="1.0" encoding="utf-8"?>
<comments xmlns="http://schemas.openxmlformats.org/spreadsheetml/2006/main">
  <authors>
    <author>kruglov</author>
  </authors>
  <commentList>
    <comment ref="F3" authorId="0">
      <text>
        <r>
          <rPr>
            <sz val="10"/>
            <color indexed="81"/>
            <rFont val="Arial Cyr"/>
            <charset val="204"/>
          </rPr>
          <t>1. Синий цвет цифр означает, что расчеты произведены в данном листе.
2. Зеленый цвет цифр означает, что данные импортированы из другого листа и над ними произведены вычисления</t>
        </r>
        <r>
          <rPr>
            <b/>
            <sz val="12"/>
            <color indexed="81"/>
            <rFont val="Times New Roman"/>
            <family val="1"/>
            <charset val="204"/>
          </rPr>
          <t xml:space="preserve">
</t>
        </r>
      </text>
    </comment>
  </commentList>
</comments>
</file>

<file path=xl/comments12.xml><?xml version="1.0" encoding="utf-8"?>
<comments xmlns="http://schemas.openxmlformats.org/spreadsheetml/2006/main">
  <authors>
    <author>kruglov</author>
  </authors>
  <commentList>
    <comment ref="F3" authorId="0">
      <text>
        <r>
          <rPr>
            <sz val="10"/>
            <color indexed="81"/>
            <rFont val="Arial Cyr"/>
            <charset val="204"/>
          </rPr>
          <t>1. Синий цвет цифр означает, что расчеты произведены в данном листе.
2. Зеленый цвет цифр означает, что данные импортированы из другого листа и над ними произведены вычисления.
3. Фиолетовый цвет цифр означает, что данные импортированы из другого листа и над ними произведены вычисления</t>
        </r>
      </text>
    </comment>
  </commentList>
</comments>
</file>

<file path=xl/comments13.xml><?xml version="1.0" encoding="utf-8"?>
<comments xmlns="http://schemas.openxmlformats.org/spreadsheetml/2006/main">
  <authors>
    <author>kruglov</author>
  </authors>
  <commentList>
    <comment ref="G3" authorId="0">
      <text>
        <r>
          <rPr>
            <sz val="10"/>
            <color indexed="81"/>
            <rFont val="Arial Cyr"/>
            <charset val="204"/>
          </rPr>
          <t>1. Синий цвет цифр означает, что расчеты произведены в данном листе.
2. Фиолетовый цвет цифр означает, что данные импортированы из другого листа и над ними произведены вычисления.
3. Голубой цвет заливки - в эти ячейки данные вносятся вручную</t>
        </r>
      </text>
    </comment>
  </commentList>
</comments>
</file>

<file path=xl/comments14.xml><?xml version="1.0" encoding="utf-8"?>
<comments xmlns="http://schemas.openxmlformats.org/spreadsheetml/2006/main">
  <authors>
    <author>kruglov</author>
  </authors>
  <commentList>
    <comment ref="K3" authorId="0">
      <text>
        <r>
          <rPr>
            <sz val="10"/>
            <color indexed="81"/>
            <rFont val="Arial Cyr"/>
            <charset val="204"/>
          </rPr>
          <t>1. Синий цвет цифр означает, что расчеты произведены в данном листе.
2. Зеленый цвет цифр означает, что данные импортированы из другого листа и над ними произведены вычисления.
3. Голубой цвет заливки - в эти ячейки данные вносятся вручную.
4. Фиолетовый цвет цифр означает, что данные импортированы из другого листа и над ними произведены вычисления</t>
        </r>
      </text>
    </comment>
  </commentList>
</comments>
</file>

<file path=xl/comments15.xml><?xml version="1.0" encoding="utf-8"?>
<comments xmlns="http://schemas.openxmlformats.org/spreadsheetml/2006/main">
  <authors>
    <author>kruglov</author>
  </authors>
  <commentList>
    <comment ref="G3" authorId="0">
      <text>
        <r>
          <rPr>
            <sz val="10"/>
            <color indexed="81"/>
            <rFont val="Arial Cyr"/>
            <charset val="204"/>
          </rPr>
          <t>1. Синий цвет цифр означает, что расчеты произведены в данном листе.
2. Зеленый цвет цифр означает, что данные импортированы из другого листа и над ними произведены вычисления.
3. Голубой цвет заливки - в эти ячейки данные вносятся вручную.
4. Фиолетовый цвет цифр означает, что данные импортированы из другого листа и над ними произведены вычисления</t>
        </r>
      </text>
    </comment>
  </commentList>
</comments>
</file>

<file path=xl/comments2.xml><?xml version="1.0" encoding="utf-8"?>
<comments xmlns="http://schemas.openxmlformats.org/spreadsheetml/2006/main">
  <authors>
    <author>kruglov</author>
  </authors>
  <commentList>
    <comment ref="J3" authorId="0">
      <text>
        <r>
          <rPr>
            <sz val="10"/>
            <color indexed="81"/>
            <rFont val="Arial Cyr"/>
            <charset val="204"/>
          </rPr>
          <t>1. Синий цвет цифр означает, что расчеты произведены в данном листе.
2. Зеленый цвет цифр означает, что данные импортированы из другого листа.
3. Голубой цвет заливки - в эти ячейки данные вносятся вручную</t>
        </r>
      </text>
    </comment>
  </commentList>
</comments>
</file>

<file path=xl/comments3.xml><?xml version="1.0" encoding="utf-8"?>
<comments xmlns="http://schemas.openxmlformats.org/spreadsheetml/2006/main">
  <authors>
    <author>kruglov</author>
  </authors>
  <commentList>
    <comment ref="G3" authorId="0">
      <text>
        <r>
          <rPr>
            <sz val="10"/>
            <color indexed="81"/>
            <rFont val="Arial Cyr"/>
            <charset val="204"/>
          </rPr>
          <t>1. Синий цвет цифр означает, что расчеты произведены в данном листе.
2. Фиолетовый цвет цифр означает, что данные импортированы из другого листа и над ними произведены вычисления.
3. Голубой цвет заливки - в эти ячейки данные вносятся вручную</t>
        </r>
      </text>
    </comment>
  </commentList>
</comments>
</file>

<file path=xl/comments4.xml><?xml version="1.0" encoding="utf-8"?>
<comments xmlns="http://schemas.openxmlformats.org/spreadsheetml/2006/main">
  <authors>
    <author>kruglov</author>
  </authors>
  <commentList>
    <comment ref="H3" authorId="0">
      <text>
        <r>
          <rPr>
            <sz val="10"/>
            <color indexed="81"/>
            <rFont val="Arial Cyr"/>
            <charset val="204"/>
          </rPr>
          <t xml:space="preserve">1. Синий цвет цифр означает, что расчеты произведены в данном листе.
2. Зеленый цвет цифр означает, что данные импортированы из другого листа.
3. Фиолетовый цвет цифр означает, что данные импортированы из другого листа и над ними произведены вычисления
</t>
        </r>
      </text>
    </comment>
  </commentList>
</comments>
</file>

<file path=xl/comments5.xml><?xml version="1.0" encoding="utf-8"?>
<comments xmlns="http://schemas.openxmlformats.org/spreadsheetml/2006/main">
  <authors>
    <author>kruglov</author>
  </authors>
  <commentList>
    <comment ref="I3" authorId="0">
      <text>
        <r>
          <rPr>
            <sz val="10"/>
            <color indexed="81"/>
            <rFont val="Arial Cyr"/>
            <charset val="204"/>
          </rPr>
          <t>1. Синий цвет цифр означает, что расчеты произведены в данном листе.
2. Зеленый  цвет цифр означает, что данные импортированы из другого листа.
3. Голубой цвет заливки - в эти ячейки данные вносятся вручную</t>
        </r>
      </text>
    </comment>
  </commentList>
</comments>
</file>

<file path=xl/comments6.xml><?xml version="1.0" encoding="utf-8"?>
<comments xmlns="http://schemas.openxmlformats.org/spreadsheetml/2006/main">
  <authors>
    <author>kruglov</author>
  </authors>
  <commentList>
    <comment ref="J3" authorId="0">
      <text>
        <r>
          <rPr>
            <sz val="10"/>
            <color indexed="81"/>
            <rFont val="Arial Cyr"/>
            <charset val="204"/>
          </rPr>
          <t>1. Синий цвет цифр означает, что расчеты произведены в данном листе.
2. Зеленый цвет цифр означает, что данные импортированы из другого листа.
3. Голубой цвет заливки - в эти ячейки данные вносятся вручную</t>
        </r>
      </text>
    </comment>
  </commentList>
</comments>
</file>

<file path=xl/comments7.xml><?xml version="1.0" encoding="utf-8"?>
<comments xmlns="http://schemas.openxmlformats.org/spreadsheetml/2006/main">
  <authors>
    <author>kruglov</author>
  </authors>
  <commentList>
    <comment ref="I3" authorId="0">
      <text>
        <r>
          <rPr>
            <sz val="10"/>
            <color indexed="81"/>
            <rFont val="Arial Cyr"/>
            <charset val="204"/>
          </rPr>
          <t>1. Синий цвет цифр означает, что расчеты произведены в данном листе.
2. Зеленый цвет цифр означает, что данные импортированы из другого листа</t>
        </r>
      </text>
    </comment>
  </commentList>
</comments>
</file>

<file path=xl/comments8.xml><?xml version="1.0" encoding="utf-8"?>
<comments xmlns="http://schemas.openxmlformats.org/spreadsheetml/2006/main">
  <authors>
    <author>kruglov</author>
  </authors>
  <commentList>
    <comment ref="G3" authorId="0">
      <text>
        <r>
          <rPr>
            <sz val="10"/>
            <color indexed="81"/>
            <rFont val="Arial Cyr"/>
            <charset val="204"/>
          </rPr>
          <t>1. Синий цвет цифр означает, что расчеты произведены в данном листе.
2. Фиолетовый цвет цифр означает, что данные импортированы из другого листа и над ними произведены вычисления</t>
        </r>
      </text>
    </comment>
  </commentList>
</comments>
</file>

<file path=xl/comments9.xml><?xml version="1.0" encoding="utf-8"?>
<comments xmlns="http://schemas.openxmlformats.org/spreadsheetml/2006/main">
  <authors>
    <author>kruglov</author>
  </authors>
  <commentList>
    <comment ref="I3" authorId="0">
      <text>
        <r>
          <rPr>
            <sz val="10"/>
            <color indexed="81"/>
            <rFont val="Arial Cyr"/>
            <charset val="204"/>
          </rPr>
          <t>1. Синий цвет цифр означает, что расчеты произведены в данном листе.
2. Зеленый цвет цифр означает, что данные импортированы из другого листа и над ними произведены вычисления.
3. Фиолетовый цвет цифр означает, что данные импортированы из другого листа и над ними произведены вычисления</t>
        </r>
      </text>
    </comment>
  </commentList>
</comments>
</file>

<file path=xl/sharedStrings.xml><?xml version="1.0" encoding="utf-8"?>
<sst xmlns="http://schemas.openxmlformats.org/spreadsheetml/2006/main" count="461" uniqueCount="314">
  <si>
    <t>Таблица 1</t>
  </si>
  <si>
    <t>Исходные данные для проведения анализа прибыли УП «Аристо»</t>
  </si>
  <si>
    <t>Наименование показателя</t>
  </si>
  <si>
    <t>Прошлый год</t>
  </si>
  <si>
    <t>Отчет-ный год</t>
  </si>
  <si>
    <t>Валовая прибыль</t>
  </si>
  <si>
    <t>форма № 2 строка 040 или расчет: форма № 2 строка 010 - форма № 2 строка 030 - форма № 2 строка 011</t>
  </si>
  <si>
    <t>Расходы на реализацию</t>
  </si>
  <si>
    <t>Среднесписочная численность, чел.</t>
  </si>
  <si>
    <t>Производительность труда</t>
  </si>
  <si>
    <t>Средняя стоимость основных средств</t>
  </si>
  <si>
    <t>Фондоотдача основных средств, руб.</t>
  </si>
  <si>
    <t>Средняя стоимость товарных запасов</t>
  </si>
  <si>
    <t>Коэффициент оборачиваемости товарных запасов (товарооборачиваемость в днях)</t>
  </si>
  <si>
    <t>Сумма условно-постоянных расходов на реализацию товаров</t>
  </si>
  <si>
    <t>Уровень условно-переменных расходов на реализацию товаров</t>
  </si>
  <si>
    <t>Таблица 2</t>
  </si>
  <si>
    <t>Информация о динамике и выполнении плана валовой прибыли УП «Аристо» за прошлый и отчетный годы</t>
  </si>
  <si>
    <t>(млн.руб.)</t>
  </si>
  <si>
    <t xml:space="preserve">    Показатели</t>
  </si>
  <si>
    <t>Прош-лый год</t>
  </si>
  <si>
    <t>Отчетный год</t>
  </si>
  <si>
    <t xml:space="preserve">Отклонение </t>
  </si>
  <si>
    <t>Темп измене-ния, %</t>
  </si>
  <si>
    <t>план</t>
  </si>
  <si>
    <t>факт</t>
  </si>
  <si>
    <t>% выпол-нения плана</t>
  </si>
  <si>
    <t>от плана</t>
  </si>
  <si>
    <t>Выручка от реализации</t>
  </si>
  <si>
    <t>В % к выручке</t>
  </si>
  <si>
    <t>Уровень валовой прибыли, %</t>
  </si>
  <si>
    <t>Таблица 3</t>
  </si>
  <si>
    <t>Методика расчета влияния выручки от реализации товаров и уровня валовой прибыли на изменение суммы валовой прибыли</t>
  </si>
  <si>
    <t>Показатели</t>
  </si>
  <si>
    <t>Расчет влияния факторов</t>
  </si>
  <si>
    <t>1. Выручка от реализации товаров</t>
  </si>
  <si>
    <r>
      <t>В</t>
    </r>
    <r>
      <rPr>
        <vertAlign val="subscript"/>
        <sz val="12"/>
        <rFont val="Times New Roman"/>
        <family val="1"/>
        <charset val="204"/>
      </rPr>
      <t>о</t>
    </r>
  </si>
  <si>
    <r>
      <t>В</t>
    </r>
    <r>
      <rPr>
        <vertAlign val="subscript"/>
        <sz val="12"/>
        <rFont val="Times New Roman"/>
        <family val="1"/>
        <charset val="204"/>
      </rPr>
      <t>1</t>
    </r>
  </si>
  <si>
    <r>
      <t>D</t>
    </r>
    <r>
      <rPr>
        <sz val="12"/>
        <rFont val="Times New Roman"/>
        <family val="1"/>
        <charset val="204"/>
      </rPr>
      <t>В</t>
    </r>
  </si>
  <si>
    <r>
      <t>D</t>
    </r>
    <r>
      <rPr>
        <sz val="12"/>
        <rFont val="Times New Roman"/>
        <family val="1"/>
        <charset val="204"/>
      </rPr>
      <t>В х УВП</t>
    </r>
    <r>
      <rPr>
        <vertAlign val="subscript"/>
        <sz val="12"/>
        <rFont val="Times New Roman"/>
        <family val="1"/>
        <charset val="204"/>
      </rPr>
      <t>0</t>
    </r>
    <r>
      <rPr>
        <sz val="12"/>
        <rFont val="Times New Roman"/>
        <family val="1"/>
        <charset val="204"/>
      </rPr>
      <t xml:space="preserve"> / 100</t>
    </r>
  </si>
  <si>
    <t>2. Уровень валовой прибыли</t>
  </si>
  <si>
    <r>
      <t>УВП</t>
    </r>
    <r>
      <rPr>
        <vertAlign val="subscript"/>
        <sz val="12"/>
        <rFont val="Times New Roman"/>
        <family val="1"/>
        <charset val="204"/>
      </rPr>
      <t>0</t>
    </r>
  </si>
  <si>
    <r>
      <t>УВП</t>
    </r>
    <r>
      <rPr>
        <vertAlign val="subscript"/>
        <sz val="12"/>
        <rFont val="Times New Roman"/>
        <family val="1"/>
        <charset val="204"/>
      </rPr>
      <t>1</t>
    </r>
  </si>
  <si>
    <r>
      <t>D</t>
    </r>
    <r>
      <rPr>
        <sz val="12"/>
        <rFont val="Times New Roman"/>
        <family val="1"/>
        <charset val="204"/>
      </rPr>
      <t>УВП</t>
    </r>
  </si>
  <si>
    <r>
      <t>D</t>
    </r>
    <r>
      <rPr>
        <sz val="12"/>
        <rFont val="Times New Roman"/>
        <family val="1"/>
        <charset val="204"/>
      </rPr>
      <t>УВП х В</t>
    </r>
    <r>
      <rPr>
        <vertAlign val="subscript"/>
        <sz val="12"/>
        <rFont val="Times New Roman"/>
        <family val="1"/>
        <charset val="204"/>
      </rPr>
      <t>1</t>
    </r>
    <r>
      <rPr>
        <sz val="12"/>
        <rFont val="Times New Roman"/>
        <family val="1"/>
        <charset val="204"/>
      </rPr>
      <t xml:space="preserve"> / 100</t>
    </r>
  </si>
  <si>
    <t>3. Сумма валовой прибыли</t>
  </si>
  <si>
    <r>
      <t>ВП</t>
    </r>
    <r>
      <rPr>
        <vertAlign val="subscript"/>
        <sz val="12"/>
        <rFont val="Times New Roman"/>
        <family val="1"/>
        <charset val="204"/>
      </rPr>
      <t>0</t>
    </r>
  </si>
  <si>
    <r>
      <t>ВП</t>
    </r>
    <r>
      <rPr>
        <vertAlign val="subscript"/>
        <sz val="12"/>
        <rFont val="Times New Roman"/>
        <family val="1"/>
        <charset val="204"/>
      </rPr>
      <t>1</t>
    </r>
  </si>
  <si>
    <r>
      <t>D</t>
    </r>
    <r>
      <rPr>
        <sz val="12"/>
        <rFont val="Times New Roman"/>
        <family val="1"/>
        <charset val="204"/>
      </rPr>
      <t>ВП</t>
    </r>
  </si>
  <si>
    <t>Таблица 4</t>
  </si>
  <si>
    <t>Факторы</t>
  </si>
  <si>
    <t>расчет</t>
  </si>
  <si>
    <t>Изменение объема выручки в действующих ценах</t>
  </si>
  <si>
    <t>Всего</t>
  </si>
  <si>
    <t>-</t>
  </si>
  <si>
    <t>Алгоритм расчета влияния выручки от реализации и уровня валовой прибыли на сумму валовой прибыли УП «Аристо»</t>
  </si>
  <si>
    <t>Влияние на выполнение плана по валовой прибыли</t>
  </si>
  <si>
    <t>Влияние на динамику валовой прибыли</t>
  </si>
  <si>
    <t>сумма</t>
  </si>
  <si>
    <t>Изменение среднего уровня валовой прибыли</t>
  </si>
  <si>
    <t>Таблица 6</t>
  </si>
  <si>
    <t>Методика факторного анализа суммы валовой прибыли</t>
  </si>
  <si>
    <t>1. Обеспеченность трудовыми ресурсами и эффективность их использования</t>
  </si>
  <si>
    <t>1.1. Среднесписочная численность работников</t>
  </si>
  <si>
    <r>
      <t>Ч</t>
    </r>
    <r>
      <rPr>
        <vertAlign val="subscript"/>
        <sz val="12"/>
        <rFont val="Times New Roman"/>
        <family val="1"/>
        <charset val="204"/>
      </rPr>
      <t>0</t>
    </r>
  </si>
  <si>
    <r>
      <t>Ч</t>
    </r>
    <r>
      <rPr>
        <vertAlign val="subscript"/>
        <sz val="12"/>
        <rFont val="Times New Roman"/>
        <family val="1"/>
        <charset val="204"/>
      </rPr>
      <t>1</t>
    </r>
  </si>
  <si>
    <r>
      <t>D</t>
    </r>
    <r>
      <rPr>
        <sz val="12"/>
        <rFont val="Times New Roman"/>
        <family val="1"/>
        <charset val="204"/>
      </rPr>
      <t>Ч</t>
    </r>
  </si>
  <si>
    <r>
      <t>D</t>
    </r>
    <r>
      <rPr>
        <sz val="12"/>
        <rFont val="Times New Roman"/>
        <family val="1"/>
        <charset val="204"/>
      </rPr>
      <t>Ч х ПТ</t>
    </r>
    <r>
      <rPr>
        <vertAlign val="subscript"/>
        <sz val="12"/>
        <rFont val="Times New Roman"/>
        <family val="1"/>
        <charset val="204"/>
      </rPr>
      <t>0</t>
    </r>
    <r>
      <rPr>
        <sz val="12"/>
        <rFont val="Times New Roman"/>
        <family val="1"/>
        <charset val="204"/>
      </rPr>
      <t xml:space="preserve"> х УВП</t>
    </r>
    <r>
      <rPr>
        <vertAlign val="subscript"/>
        <sz val="12"/>
        <rFont val="Times New Roman"/>
        <family val="1"/>
        <charset val="204"/>
      </rPr>
      <t>0</t>
    </r>
    <r>
      <rPr>
        <sz val="12"/>
        <rFont val="Times New Roman"/>
        <family val="1"/>
        <charset val="204"/>
      </rPr>
      <t xml:space="preserve"> / 100</t>
    </r>
  </si>
  <si>
    <t>1.2. Производительность труда</t>
  </si>
  <si>
    <r>
      <t>ПТ</t>
    </r>
    <r>
      <rPr>
        <vertAlign val="subscript"/>
        <sz val="12"/>
        <rFont val="Times New Roman"/>
        <family val="1"/>
        <charset val="204"/>
      </rPr>
      <t>0</t>
    </r>
  </si>
  <si>
    <r>
      <t>ПТ</t>
    </r>
    <r>
      <rPr>
        <vertAlign val="subscript"/>
        <sz val="12"/>
        <rFont val="Times New Roman"/>
        <family val="1"/>
        <charset val="204"/>
      </rPr>
      <t>1</t>
    </r>
  </si>
  <si>
    <r>
      <t>D</t>
    </r>
    <r>
      <rPr>
        <sz val="12"/>
        <rFont val="Times New Roman"/>
        <family val="1"/>
        <charset val="204"/>
      </rPr>
      <t>ПТ</t>
    </r>
  </si>
  <si>
    <r>
      <t>D</t>
    </r>
    <r>
      <rPr>
        <sz val="12"/>
        <rFont val="Times New Roman"/>
        <family val="1"/>
        <charset val="204"/>
      </rPr>
      <t>ПТ х Ч</t>
    </r>
    <r>
      <rPr>
        <vertAlign val="subscript"/>
        <sz val="12"/>
        <rFont val="Times New Roman"/>
        <family val="1"/>
        <charset val="204"/>
      </rPr>
      <t>1</t>
    </r>
    <r>
      <rPr>
        <sz val="12"/>
        <rFont val="Times New Roman"/>
        <family val="1"/>
        <charset val="204"/>
      </rPr>
      <t xml:space="preserve"> х УВП</t>
    </r>
    <r>
      <rPr>
        <vertAlign val="subscript"/>
        <sz val="12"/>
        <rFont val="Times New Roman"/>
        <family val="1"/>
        <charset val="204"/>
      </rPr>
      <t>0</t>
    </r>
    <r>
      <rPr>
        <sz val="12"/>
        <rFont val="Times New Roman"/>
        <family val="1"/>
        <charset val="204"/>
      </rPr>
      <t xml:space="preserve"> / 100</t>
    </r>
  </si>
  <si>
    <t>2. Обеспеченность основными средствами и эффективность их использования</t>
  </si>
  <si>
    <t>2.1. Средняя стоимость основных средств</t>
  </si>
  <si>
    <r>
      <t>ОС</t>
    </r>
    <r>
      <rPr>
        <vertAlign val="subscript"/>
        <sz val="12"/>
        <rFont val="Times New Roman"/>
        <family val="1"/>
        <charset val="204"/>
      </rPr>
      <t>0</t>
    </r>
  </si>
  <si>
    <r>
      <t>ОС</t>
    </r>
    <r>
      <rPr>
        <vertAlign val="subscript"/>
        <sz val="12"/>
        <rFont val="Times New Roman"/>
        <family val="1"/>
        <charset val="204"/>
      </rPr>
      <t>1</t>
    </r>
  </si>
  <si>
    <r>
      <t>D</t>
    </r>
    <r>
      <rPr>
        <sz val="12"/>
        <rFont val="Times New Roman"/>
        <family val="1"/>
        <charset val="204"/>
      </rPr>
      <t>ОС</t>
    </r>
  </si>
  <si>
    <r>
      <t>D</t>
    </r>
    <r>
      <rPr>
        <sz val="12"/>
        <rFont val="Times New Roman"/>
        <family val="1"/>
        <charset val="204"/>
      </rPr>
      <t>ОС х ФО</t>
    </r>
    <r>
      <rPr>
        <vertAlign val="subscript"/>
        <sz val="12"/>
        <rFont val="Times New Roman"/>
        <family val="1"/>
        <charset val="204"/>
      </rPr>
      <t>0</t>
    </r>
    <r>
      <rPr>
        <sz val="12"/>
        <rFont val="Times New Roman"/>
        <family val="1"/>
        <charset val="204"/>
      </rPr>
      <t xml:space="preserve"> х УВП</t>
    </r>
    <r>
      <rPr>
        <vertAlign val="subscript"/>
        <sz val="12"/>
        <rFont val="Times New Roman"/>
        <family val="1"/>
        <charset val="204"/>
      </rPr>
      <t>0</t>
    </r>
    <r>
      <rPr>
        <sz val="12"/>
        <rFont val="Times New Roman"/>
        <family val="1"/>
        <charset val="204"/>
      </rPr>
      <t xml:space="preserve"> / 100</t>
    </r>
  </si>
  <si>
    <r>
      <t>ФО</t>
    </r>
    <r>
      <rPr>
        <vertAlign val="subscript"/>
        <sz val="12"/>
        <rFont val="Times New Roman"/>
        <family val="1"/>
        <charset val="204"/>
      </rPr>
      <t>0</t>
    </r>
  </si>
  <si>
    <r>
      <t>ФО</t>
    </r>
    <r>
      <rPr>
        <vertAlign val="subscript"/>
        <sz val="12"/>
        <rFont val="Times New Roman"/>
        <family val="1"/>
        <charset val="204"/>
      </rPr>
      <t>1</t>
    </r>
  </si>
  <si>
    <r>
      <t>D</t>
    </r>
    <r>
      <rPr>
        <sz val="12"/>
        <rFont val="Times New Roman"/>
        <family val="1"/>
        <charset val="204"/>
      </rPr>
      <t>ФО</t>
    </r>
  </si>
  <si>
    <r>
      <t>D</t>
    </r>
    <r>
      <rPr>
        <sz val="12"/>
        <rFont val="Times New Roman"/>
        <family val="1"/>
        <charset val="204"/>
      </rPr>
      <t>ФО х ОС</t>
    </r>
    <r>
      <rPr>
        <vertAlign val="subscript"/>
        <sz val="12"/>
        <rFont val="Times New Roman"/>
        <family val="1"/>
        <charset val="204"/>
      </rPr>
      <t>1</t>
    </r>
    <r>
      <rPr>
        <sz val="12"/>
        <rFont val="Times New Roman"/>
        <family val="1"/>
        <charset val="204"/>
      </rPr>
      <t xml:space="preserve"> х УВП</t>
    </r>
    <r>
      <rPr>
        <vertAlign val="subscript"/>
        <sz val="12"/>
        <rFont val="Times New Roman"/>
        <family val="1"/>
        <charset val="204"/>
      </rPr>
      <t>0</t>
    </r>
    <r>
      <rPr>
        <sz val="12"/>
        <rFont val="Times New Roman"/>
        <family val="1"/>
        <charset val="204"/>
      </rPr>
      <t xml:space="preserve"> / 100</t>
    </r>
  </si>
  <si>
    <t>3. Обеспеченность товарными запасами и эффективность их использования</t>
  </si>
  <si>
    <t>3.1. Средняя стоимость товарных запасов</t>
  </si>
  <si>
    <r>
      <t>З</t>
    </r>
    <r>
      <rPr>
        <vertAlign val="subscript"/>
        <sz val="12"/>
        <rFont val="Times New Roman"/>
        <family val="1"/>
        <charset val="204"/>
      </rPr>
      <t>0</t>
    </r>
  </si>
  <si>
    <r>
      <t>З</t>
    </r>
    <r>
      <rPr>
        <vertAlign val="subscript"/>
        <sz val="12"/>
        <rFont val="Times New Roman"/>
        <family val="1"/>
        <charset val="204"/>
      </rPr>
      <t>1</t>
    </r>
  </si>
  <si>
    <r>
      <t>D</t>
    </r>
    <r>
      <rPr>
        <sz val="12"/>
        <rFont val="Times New Roman"/>
        <family val="1"/>
        <charset val="204"/>
      </rPr>
      <t>З</t>
    </r>
  </si>
  <si>
    <r>
      <t>D</t>
    </r>
    <r>
      <rPr>
        <sz val="12"/>
        <rFont val="Times New Roman"/>
        <family val="1"/>
        <charset val="204"/>
      </rPr>
      <t>З х к</t>
    </r>
    <r>
      <rPr>
        <vertAlign val="subscript"/>
        <sz val="12"/>
        <rFont val="Times New Roman"/>
        <family val="1"/>
        <charset val="204"/>
      </rPr>
      <t>об0</t>
    </r>
    <r>
      <rPr>
        <sz val="12"/>
        <rFont val="Times New Roman"/>
        <family val="1"/>
        <charset val="204"/>
      </rPr>
      <t xml:space="preserve"> х УВП</t>
    </r>
    <r>
      <rPr>
        <vertAlign val="subscript"/>
        <sz val="12"/>
        <rFont val="Times New Roman"/>
        <family val="1"/>
        <charset val="204"/>
      </rPr>
      <t>0</t>
    </r>
    <r>
      <rPr>
        <sz val="12"/>
        <rFont val="Times New Roman"/>
        <family val="1"/>
        <charset val="204"/>
      </rPr>
      <t xml:space="preserve"> / 100</t>
    </r>
  </si>
  <si>
    <t>3.2. Коэффициент оборачиваемости товарных запасов</t>
  </si>
  <si>
    <r>
      <t>к</t>
    </r>
    <r>
      <rPr>
        <vertAlign val="subscript"/>
        <sz val="12"/>
        <rFont val="Times New Roman"/>
        <family val="1"/>
        <charset val="204"/>
      </rPr>
      <t>об0</t>
    </r>
  </si>
  <si>
    <r>
      <t>к</t>
    </r>
    <r>
      <rPr>
        <vertAlign val="subscript"/>
        <sz val="12"/>
        <rFont val="Times New Roman"/>
        <family val="1"/>
        <charset val="204"/>
      </rPr>
      <t>об1</t>
    </r>
  </si>
  <si>
    <r>
      <t>D</t>
    </r>
    <r>
      <rPr>
        <sz val="12"/>
        <rFont val="Times New Roman"/>
        <family val="1"/>
        <charset val="204"/>
      </rPr>
      <t>к</t>
    </r>
    <r>
      <rPr>
        <vertAlign val="subscript"/>
        <sz val="12"/>
        <rFont val="Times New Roman"/>
        <family val="1"/>
        <charset val="204"/>
      </rPr>
      <t>об</t>
    </r>
  </si>
  <si>
    <r>
      <t>D</t>
    </r>
    <r>
      <rPr>
        <sz val="12"/>
        <rFont val="Times New Roman"/>
        <family val="1"/>
        <charset val="204"/>
      </rPr>
      <t>к</t>
    </r>
    <r>
      <rPr>
        <vertAlign val="subscript"/>
        <sz val="12"/>
        <rFont val="Times New Roman"/>
        <family val="1"/>
        <charset val="204"/>
      </rPr>
      <t>об</t>
    </r>
    <r>
      <rPr>
        <sz val="12"/>
        <rFont val="Times New Roman"/>
        <family val="1"/>
        <charset val="204"/>
      </rPr>
      <t xml:space="preserve"> х З</t>
    </r>
    <r>
      <rPr>
        <vertAlign val="subscript"/>
        <sz val="12"/>
        <rFont val="Times New Roman"/>
        <family val="1"/>
        <charset val="204"/>
      </rPr>
      <t>1</t>
    </r>
    <r>
      <rPr>
        <sz val="12"/>
        <rFont val="Times New Roman"/>
        <family val="1"/>
        <charset val="204"/>
      </rPr>
      <t xml:space="preserve"> х УВП</t>
    </r>
    <r>
      <rPr>
        <vertAlign val="subscript"/>
        <sz val="12"/>
        <rFont val="Times New Roman"/>
        <family val="1"/>
        <charset val="204"/>
      </rPr>
      <t>0</t>
    </r>
    <r>
      <rPr>
        <sz val="12"/>
        <rFont val="Times New Roman"/>
        <family val="1"/>
        <charset val="204"/>
      </rPr>
      <t xml:space="preserve"> / 100</t>
    </r>
  </si>
  <si>
    <t>Алгоритм расчета влияния факторов второго порядка на сумму валовой прибыли УП «Аристо»</t>
  </si>
  <si>
    <t>Влияние факторов</t>
  </si>
  <si>
    <t>Итого</t>
  </si>
  <si>
    <t>2.1. Среднегодовая стоимость основных средств</t>
  </si>
  <si>
    <t>2.2. Фондоотдача основных средств</t>
  </si>
  <si>
    <t>3.1. Среднегодовая стоимость товарных запасов</t>
  </si>
  <si>
    <t>Таблица 8</t>
  </si>
  <si>
    <t>Информация о составе и структуре прибыли УП «Аристо» за прошлый и отчетный годы</t>
  </si>
  <si>
    <t>удель-ный вес, %</t>
  </si>
  <si>
    <t>Прибыль от реализации товаров, продукции</t>
  </si>
  <si>
    <t>Прибыль</t>
  </si>
  <si>
    <t>Таблица 9</t>
  </si>
  <si>
    <t>Информация о динамике и выполнении плана прибыли от реализации УП «Аристо» за прошлый и отчетный годы</t>
  </si>
  <si>
    <t>Прибыль от реализации</t>
  </si>
  <si>
    <t>Таблица 10</t>
  </si>
  <si>
    <t>Информация о динамике источников формирования прибыли от реализации товаров и продукции УП «Аристо» за прошлый и отчетный годы</t>
  </si>
  <si>
    <t>1. Выручка от реализации</t>
  </si>
  <si>
    <t>2. Полная себестоимость, в т.ч.</t>
  </si>
  <si>
    <t>3. Валовая прибыль</t>
  </si>
  <si>
    <t>Алгоритм расчета влияния факторов на выполнение плана и динамику прибыли от реализации товаров и продукции УП «Аристо» за прошлый и отчетный годы</t>
  </si>
  <si>
    <t>Наименование факторов</t>
  </si>
  <si>
    <t>Влияние на выполнение плана прибыли от реализации</t>
  </si>
  <si>
    <t>Влияние на динамику прибыли от реализации</t>
  </si>
  <si>
    <t xml:space="preserve">сумма </t>
  </si>
  <si>
    <t>Изменение общего объема выручки в действующих ценах</t>
  </si>
  <si>
    <t xml:space="preserve">Изменение уровня расходов на реализацию </t>
  </si>
  <si>
    <t>Методика расчета влияния выручки от реализации товаров и уровня валовой прибыли на изменение прибыли от реализации в торговле</t>
  </si>
  <si>
    <t xml:space="preserve">Подстановки </t>
  </si>
  <si>
    <t>I</t>
  </si>
  <si>
    <t>II</t>
  </si>
  <si>
    <t>III</t>
  </si>
  <si>
    <r>
      <t>В</t>
    </r>
    <r>
      <rPr>
        <vertAlign val="subscript"/>
        <sz val="12"/>
        <rFont val="Times New Roman"/>
        <family val="1"/>
        <charset val="204"/>
      </rPr>
      <t>0</t>
    </r>
  </si>
  <si>
    <r>
      <t>П</t>
    </r>
    <r>
      <rPr>
        <vertAlign val="subscript"/>
        <sz val="12"/>
        <rFont val="Times New Roman"/>
        <family val="1"/>
        <charset val="204"/>
      </rPr>
      <t>р</t>
    </r>
    <r>
      <rPr>
        <vertAlign val="superscript"/>
        <sz val="12"/>
        <rFont val="Times New Roman"/>
        <family val="1"/>
        <charset val="204"/>
      </rPr>
      <t>I</t>
    </r>
    <r>
      <rPr>
        <sz val="12"/>
        <rFont val="Times New Roman"/>
        <family val="1"/>
        <charset val="204"/>
      </rPr>
      <t xml:space="preserve"> - П</t>
    </r>
    <r>
      <rPr>
        <vertAlign val="subscript"/>
        <sz val="12"/>
        <rFont val="Times New Roman"/>
        <family val="1"/>
        <charset val="204"/>
      </rPr>
      <t>р0</t>
    </r>
  </si>
  <si>
    <t>2. Сумма условно-постоянных расходов на реализацию товаров</t>
  </si>
  <si>
    <r>
      <t>Р</t>
    </r>
    <r>
      <rPr>
        <vertAlign val="subscript"/>
        <sz val="12"/>
        <rFont val="Times New Roman"/>
        <family val="1"/>
        <charset val="204"/>
      </rPr>
      <t>П0</t>
    </r>
  </si>
  <si>
    <r>
      <t>Р</t>
    </r>
    <r>
      <rPr>
        <vertAlign val="subscript"/>
        <sz val="12"/>
        <rFont val="Times New Roman"/>
        <family val="1"/>
        <charset val="204"/>
      </rPr>
      <t>П1</t>
    </r>
  </si>
  <si>
    <r>
      <t>П</t>
    </r>
    <r>
      <rPr>
        <vertAlign val="subscript"/>
        <sz val="12"/>
        <rFont val="Times New Roman"/>
        <family val="1"/>
        <charset val="204"/>
      </rPr>
      <t>р</t>
    </r>
    <r>
      <rPr>
        <vertAlign val="superscript"/>
        <sz val="12"/>
        <rFont val="Times New Roman"/>
        <family val="1"/>
        <charset val="204"/>
      </rPr>
      <t>II</t>
    </r>
    <r>
      <rPr>
        <sz val="12"/>
        <rFont val="Times New Roman"/>
        <family val="1"/>
        <charset val="204"/>
      </rPr>
      <t xml:space="preserve"> - П</t>
    </r>
    <r>
      <rPr>
        <vertAlign val="subscript"/>
        <sz val="12"/>
        <rFont val="Times New Roman"/>
        <family val="1"/>
        <charset val="204"/>
      </rPr>
      <t>р</t>
    </r>
    <r>
      <rPr>
        <vertAlign val="superscript"/>
        <sz val="12"/>
        <rFont val="Times New Roman"/>
        <family val="1"/>
        <charset val="204"/>
      </rPr>
      <t>I</t>
    </r>
  </si>
  <si>
    <t>3. Уровень условно-переменных расходов на реализацию товаров</t>
  </si>
  <si>
    <r>
      <t>У</t>
    </r>
    <r>
      <rPr>
        <vertAlign val="subscript"/>
        <sz val="12"/>
        <rFont val="Times New Roman"/>
        <family val="1"/>
        <charset val="204"/>
      </rPr>
      <t>пер0</t>
    </r>
  </si>
  <si>
    <r>
      <t>У</t>
    </r>
    <r>
      <rPr>
        <vertAlign val="subscript"/>
        <sz val="12"/>
        <rFont val="Times New Roman"/>
        <family val="1"/>
        <charset val="204"/>
      </rPr>
      <t>пер1</t>
    </r>
  </si>
  <si>
    <r>
      <t>П</t>
    </r>
    <r>
      <rPr>
        <vertAlign val="subscript"/>
        <sz val="12"/>
        <rFont val="Times New Roman"/>
        <family val="1"/>
        <charset val="204"/>
      </rPr>
      <t>р</t>
    </r>
    <r>
      <rPr>
        <vertAlign val="superscript"/>
        <sz val="12"/>
        <rFont val="Times New Roman"/>
        <family val="1"/>
        <charset val="204"/>
      </rPr>
      <t>III</t>
    </r>
    <r>
      <rPr>
        <sz val="12"/>
        <rFont val="Times New Roman"/>
        <family val="1"/>
        <charset val="204"/>
      </rPr>
      <t xml:space="preserve"> - П</t>
    </r>
    <r>
      <rPr>
        <vertAlign val="subscript"/>
        <sz val="12"/>
        <rFont val="Times New Roman"/>
        <family val="1"/>
        <charset val="204"/>
      </rPr>
      <t>р</t>
    </r>
    <r>
      <rPr>
        <vertAlign val="superscript"/>
        <sz val="12"/>
        <rFont val="Times New Roman"/>
        <family val="1"/>
        <charset val="204"/>
      </rPr>
      <t>II</t>
    </r>
  </si>
  <si>
    <t>4. Уровень валовой прибыли</t>
  </si>
  <si>
    <r>
      <t>П</t>
    </r>
    <r>
      <rPr>
        <vertAlign val="subscript"/>
        <sz val="12"/>
        <rFont val="Times New Roman"/>
        <family val="1"/>
        <charset val="204"/>
      </rPr>
      <t>р1</t>
    </r>
    <r>
      <rPr>
        <sz val="12"/>
        <rFont val="Times New Roman"/>
        <family val="1"/>
        <charset val="204"/>
      </rPr>
      <t xml:space="preserve"> - П</t>
    </r>
    <r>
      <rPr>
        <vertAlign val="subscript"/>
        <sz val="12"/>
        <rFont val="Times New Roman"/>
        <family val="1"/>
        <charset val="204"/>
      </rPr>
      <t>р</t>
    </r>
    <r>
      <rPr>
        <vertAlign val="superscript"/>
        <sz val="12"/>
        <rFont val="Times New Roman"/>
        <family val="1"/>
        <charset val="204"/>
      </rPr>
      <t>III</t>
    </r>
  </si>
  <si>
    <t>5. Прибыль от реализации товаров</t>
  </si>
  <si>
    <r>
      <t>П</t>
    </r>
    <r>
      <rPr>
        <vertAlign val="subscript"/>
        <sz val="12"/>
        <rFont val="Times New Roman"/>
        <family val="1"/>
        <charset val="204"/>
      </rPr>
      <t>р0</t>
    </r>
  </si>
  <si>
    <r>
      <t>П</t>
    </r>
    <r>
      <rPr>
        <vertAlign val="subscript"/>
        <sz val="12"/>
        <rFont val="Times New Roman"/>
        <family val="1"/>
        <charset val="204"/>
      </rPr>
      <t>р1</t>
    </r>
  </si>
  <si>
    <r>
      <t>П</t>
    </r>
    <r>
      <rPr>
        <vertAlign val="subscript"/>
        <sz val="12"/>
        <rFont val="Times New Roman"/>
        <family val="1"/>
        <charset val="204"/>
      </rPr>
      <t>р</t>
    </r>
    <r>
      <rPr>
        <vertAlign val="superscript"/>
        <sz val="12"/>
        <rFont val="Times New Roman"/>
        <family val="1"/>
        <charset val="204"/>
      </rPr>
      <t>I</t>
    </r>
  </si>
  <si>
    <r>
      <t>П</t>
    </r>
    <r>
      <rPr>
        <vertAlign val="subscript"/>
        <sz val="12"/>
        <rFont val="Times New Roman"/>
        <family val="1"/>
        <charset val="204"/>
      </rPr>
      <t>р</t>
    </r>
    <r>
      <rPr>
        <vertAlign val="superscript"/>
        <sz val="12"/>
        <rFont val="Times New Roman"/>
        <family val="1"/>
        <charset val="204"/>
      </rPr>
      <t>II</t>
    </r>
  </si>
  <si>
    <r>
      <t>П</t>
    </r>
    <r>
      <rPr>
        <vertAlign val="subscript"/>
        <sz val="12"/>
        <rFont val="Times New Roman"/>
        <family val="1"/>
        <charset val="204"/>
      </rPr>
      <t>р</t>
    </r>
    <r>
      <rPr>
        <vertAlign val="superscript"/>
        <sz val="12"/>
        <rFont val="Times New Roman"/>
        <family val="1"/>
        <charset val="204"/>
      </rPr>
      <t>III</t>
    </r>
  </si>
  <si>
    <r>
      <t>DП</t>
    </r>
    <r>
      <rPr>
        <vertAlign val="subscript"/>
        <sz val="12"/>
        <rFont val="Times New Roman"/>
        <family val="1"/>
        <charset val="204"/>
      </rPr>
      <t xml:space="preserve">р  </t>
    </r>
  </si>
  <si>
    <t xml:space="preserve">Показатели </t>
  </si>
  <si>
    <t>Выручка от реализации товаров и продукции</t>
  </si>
  <si>
    <t>Сумма условно-постоянных расходов на реализацию</t>
  </si>
  <si>
    <t>Уровень условно-переменных расходов на реализацию, %</t>
  </si>
  <si>
    <t xml:space="preserve">Уровень валовой прибыли, % </t>
  </si>
  <si>
    <t>Прибыль от реализации товаров и продукции</t>
  </si>
  <si>
    <t>Информация о динамике рентабельности УП «Аристо» за прошлый и отчетный годы</t>
  </si>
  <si>
    <t>Откло-нение</t>
  </si>
  <si>
    <t>Рентабельность общая, %</t>
  </si>
  <si>
    <t>Расходы на реализацию, млн.руб.</t>
  </si>
  <si>
    <t>Рентабельность текущих затрат, %</t>
  </si>
  <si>
    <t>Рентабельность активов (совокупного капитала), %</t>
  </si>
  <si>
    <t>Рентабельность внеоборотных активов, %</t>
  </si>
  <si>
    <t>Рентабельность оборотных активов, %</t>
  </si>
  <si>
    <t>Собственный капитал, млн.руб.</t>
  </si>
  <si>
    <t>Рентабельность собственного капитала, %</t>
  </si>
  <si>
    <t>Рентабельность средств на оплату труда, %</t>
  </si>
  <si>
    <t>Прибыль на 1 сотрудника, млн.руб.</t>
  </si>
  <si>
    <t>Таблица 15</t>
  </si>
  <si>
    <t xml:space="preserve">3. Прибыль от реализации </t>
  </si>
  <si>
    <t>4. Показатели рентабельности, %</t>
  </si>
  <si>
    <t>Таблица 16</t>
  </si>
  <si>
    <t>Методика расчета влияния выручки от реализации товаров, уровня валовой прибыли и условно-переменных расходов, суммы условно-постоянных расходов на изменение рентабельности продаж</t>
  </si>
  <si>
    <t>4. Сумма условно-постоянных расходов на реализацию товаров</t>
  </si>
  <si>
    <r>
      <t>Р</t>
    </r>
    <r>
      <rPr>
        <vertAlign val="subscript"/>
        <sz val="12"/>
        <rFont val="Times New Roman"/>
        <family val="1"/>
        <charset val="204"/>
      </rPr>
      <t>п0</t>
    </r>
  </si>
  <si>
    <r>
      <t>Р</t>
    </r>
    <r>
      <rPr>
        <vertAlign val="subscript"/>
        <sz val="12"/>
        <rFont val="Times New Roman"/>
        <family val="1"/>
        <charset val="204"/>
      </rPr>
      <t>п1</t>
    </r>
  </si>
  <si>
    <t>5. Рентабельность продаж, %</t>
  </si>
  <si>
    <r>
      <t>Р</t>
    </r>
    <r>
      <rPr>
        <vertAlign val="subscript"/>
        <sz val="12"/>
        <rFont val="Times New Roman"/>
        <family val="1"/>
        <charset val="204"/>
      </rPr>
      <t>ПР0</t>
    </r>
  </si>
  <si>
    <r>
      <t>Р</t>
    </r>
    <r>
      <rPr>
        <vertAlign val="subscript"/>
        <sz val="12"/>
        <rFont val="Times New Roman"/>
        <family val="1"/>
        <charset val="204"/>
      </rPr>
      <t>ПР1</t>
    </r>
  </si>
  <si>
    <r>
      <t>ΔР</t>
    </r>
    <r>
      <rPr>
        <vertAlign val="subscript"/>
        <sz val="12"/>
        <rFont val="Times New Roman"/>
        <family val="1"/>
        <charset val="204"/>
      </rPr>
      <t>ПР</t>
    </r>
    <r>
      <rPr>
        <sz val="12"/>
        <rFont val="Times New Roman"/>
        <family val="1"/>
        <charset val="204"/>
      </rPr>
      <t xml:space="preserve"> = ΔР</t>
    </r>
    <r>
      <rPr>
        <vertAlign val="subscript"/>
        <sz val="12"/>
        <rFont val="Times New Roman"/>
        <family val="1"/>
        <charset val="204"/>
      </rPr>
      <t>ПР(В)</t>
    </r>
    <r>
      <rPr>
        <sz val="12"/>
        <rFont val="Times New Roman"/>
        <family val="1"/>
        <charset val="204"/>
      </rPr>
      <t xml:space="preserve"> + ΔР</t>
    </r>
    <r>
      <rPr>
        <vertAlign val="subscript"/>
        <sz val="12"/>
        <rFont val="Times New Roman"/>
        <family val="1"/>
        <charset val="204"/>
      </rPr>
      <t>ПР(УВП)</t>
    </r>
    <r>
      <rPr>
        <sz val="12"/>
        <rFont val="Times New Roman"/>
        <family val="1"/>
        <charset val="204"/>
      </rPr>
      <t xml:space="preserve"> - ΔР</t>
    </r>
    <r>
      <rPr>
        <vertAlign val="subscript"/>
        <sz val="12"/>
        <rFont val="Times New Roman"/>
        <family val="1"/>
        <charset val="204"/>
      </rPr>
      <t xml:space="preserve">ПР(Упер) - </t>
    </r>
    <r>
      <rPr>
        <sz val="12"/>
        <rFont val="Times New Roman"/>
        <family val="1"/>
        <charset val="204"/>
      </rPr>
      <t>ΔР</t>
    </r>
    <r>
      <rPr>
        <vertAlign val="subscript"/>
        <sz val="12"/>
        <rFont val="Times New Roman"/>
        <family val="1"/>
        <charset val="204"/>
      </rPr>
      <t>ПР(Рn)</t>
    </r>
  </si>
  <si>
    <t>Влияние факторов на рентабельность продаж</t>
  </si>
  <si>
    <t>итог</t>
  </si>
  <si>
    <t>Таблица 18</t>
  </si>
  <si>
    <t>Таблица 19</t>
  </si>
  <si>
    <t>Период (полугодие)</t>
  </si>
  <si>
    <t>Выручка от реализации, млн.руб.</t>
  </si>
  <si>
    <t>Прибыль от реализации, млн.руб.</t>
  </si>
  <si>
    <t>х</t>
  </si>
  <si>
    <t>+</t>
  </si>
  <si>
    <t>Информация для расчета планируемой суммы прибыли от реализации продукции и товаров по методу экстремумов</t>
  </si>
  <si>
    <t xml:space="preserve">Период </t>
  </si>
  <si>
    <t>Прибыль от реализации продукции и товаров</t>
  </si>
  <si>
    <t>Условные обозначения</t>
  </si>
  <si>
    <t>Y1</t>
  </si>
  <si>
    <t>Y2</t>
  </si>
  <si>
    <t>Y3</t>
  </si>
  <si>
    <t>Y4</t>
  </si>
  <si>
    <r>
      <t xml:space="preserve">   Y</t>
    </r>
    <r>
      <rPr>
        <vertAlign val="subscript"/>
        <sz val="12"/>
        <rFont val="Times New Roman"/>
        <family val="1"/>
        <charset val="204"/>
      </rPr>
      <t>1</t>
    </r>
    <r>
      <rPr>
        <sz val="12"/>
        <rFont val="Times New Roman"/>
        <family val="1"/>
        <charset val="204"/>
      </rPr>
      <t xml:space="preserve"> = a + b, </t>
    </r>
  </si>
  <si>
    <t>= a + b,</t>
  </si>
  <si>
    <r>
      <t xml:space="preserve">   Y</t>
    </r>
    <r>
      <rPr>
        <vertAlign val="subscript"/>
        <sz val="12"/>
        <rFont val="Times New Roman"/>
        <family val="1"/>
        <charset val="204"/>
      </rPr>
      <t>n</t>
    </r>
    <r>
      <rPr>
        <sz val="12"/>
        <rFont val="Times New Roman"/>
        <family val="1"/>
        <charset val="204"/>
      </rPr>
      <t xml:space="preserve"> = an + b</t>
    </r>
  </si>
  <si>
    <t>= 4a + b</t>
  </si>
  <si>
    <t xml:space="preserve">, после чего  </t>
  </si>
  <si>
    <t>система примет вид:</t>
  </si>
  <si>
    <t>=</t>
  </si>
  <si>
    <t>а</t>
  </si>
  <si>
    <t>b</t>
  </si>
  <si>
    <t>а +</t>
  </si>
  <si>
    <t>Затем, прибавив к первому уравнению второе, получим:</t>
  </si>
  <si>
    <t xml:space="preserve"> =</t>
  </si>
  <si>
    <t>a</t>
  </si>
  <si>
    <t>Планирование рентабельности продаж УП «Аристо» с использованием расчетно-аналитического метода</t>
  </si>
  <si>
    <t>Период (год)</t>
  </si>
  <si>
    <t>Рентабельность продаж</t>
  </si>
  <si>
    <t>Годовой уровень прибыли от реализации к уровню прибыли от реализации за 6 месяцев</t>
  </si>
  <si>
    <t>за год</t>
  </si>
  <si>
    <t>за полугодие (6 месяцев)</t>
  </si>
  <si>
    <t xml:space="preserve">расчет </t>
  </si>
  <si>
    <t>Предшествующий</t>
  </si>
  <si>
    <t>Прошлый</t>
  </si>
  <si>
    <t>Отчетный</t>
  </si>
  <si>
    <t xml:space="preserve">) / 2 х </t>
  </si>
  <si>
    <r>
      <t>/</t>
    </r>
    <r>
      <rPr>
        <sz val="12"/>
        <rFont val="Times New Roman"/>
        <family val="1"/>
        <charset val="204"/>
      </rPr>
      <t xml:space="preserve"> 100   =</t>
    </r>
  </si>
  <si>
    <t xml:space="preserve">Выручка от реализации </t>
  </si>
  <si>
    <t>Строка 010 ОПУ</t>
  </si>
  <si>
    <t>Строка 020 ОПУ</t>
  </si>
  <si>
    <t>Строка 040 + строка 050 ОПУ</t>
  </si>
  <si>
    <t>Прибыль (убыток) от реализации</t>
  </si>
  <si>
    <t>Строка 060 ОПУ или (строка 030 - строка 040 - строка 050)</t>
  </si>
  <si>
    <t>Выручка от реализации / среднесписочная численность</t>
  </si>
  <si>
    <t>(строка 110 ББ на начало периода + строка 110 ББ на конец периода) / 2</t>
  </si>
  <si>
    <t>Выручка от реализации / средняя стоимость основных средств</t>
  </si>
  <si>
    <t>(строка 214 ББ на начало периода + строка 214 ББ на конец периода) / 2</t>
  </si>
  <si>
    <t>Выручка от реализации / средняя стоимость товарных запасов</t>
  </si>
  <si>
    <t>Ведомость аналитического учета по счету 44</t>
  </si>
  <si>
    <t>Сумма условно-переменных расходов (расходы на реализацию - сумма условно-постоянных расходов на реализацию товаров) / выручка от реализации х 100</t>
  </si>
  <si>
    <t>Темп изменения, %</t>
  </si>
  <si>
    <t>В % к выручке от реализации</t>
  </si>
  <si>
    <t>от прошлого года</t>
  </si>
  <si>
    <t>% выполне-ния плана</t>
  </si>
  <si>
    <t xml:space="preserve"> </t>
  </si>
  <si>
    <t>Таблица 5</t>
  </si>
  <si>
    <t>Отклоне-ние    (гр.3 - гр.2)</t>
  </si>
  <si>
    <t>Прочие доходы (расходы) по текущей деятельности</t>
  </si>
  <si>
    <t>Прибыль от текущей деятельности</t>
  </si>
  <si>
    <t>Доходы (расходы) по инвестиционной деятельности</t>
  </si>
  <si>
    <t>Доходы (расходы) по финансовой деятельности</t>
  </si>
  <si>
    <t>Иные доходы и расходы</t>
  </si>
  <si>
    <t>Таблица 7</t>
  </si>
  <si>
    <t>сумма (гр.4 - гр.2)</t>
  </si>
  <si>
    <t>удель-ный вес, %        (гр.5 - гр.3)</t>
  </si>
  <si>
    <t>4. Прибыль от реализации продукции и товаров</t>
  </si>
  <si>
    <t>Изменение уровня валовой прибыли</t>
  </si>
  <si>
    <t>Таблица 11</t>
  </si>
  <si>
    <t>Отчет- ный год</t>
  </si>
  <si>
    <t>Таблица 12</t>
  </si>
  <si>
    <t>Прош- лый год</t>
  </si>
  <si>
    <t>Темп измене- ния, %</t>
  </si>
  <si>
    <t>Среднегодовая стоимость оборотных активов, млн.руб.</t>
  </si>
  <si>
    <t>Таблица 13</t>
  </si>
  <si>
    <t>Объем реализации товаров, продукции в действующих ценах, млн.руб.</t>
  </si>
  <si>
    <t>Среднегодовая стоимость активов (совокупного капитала), млн.руб.</t>
  </si>
  <si>
    <t>Среднегодовая стоимость внеоборотных активов, млн.руб.</t>
  </si>
  <si>
    <r>
      <t>ΔР</t>
    </r>
    <r>
      <rPr>
        <vertAlign val="subscript"/>
        <sz val="12"/>
        <rFont val="Times New Roman"/>
        <family val="1"/>
        <charset val="204"/>
      </rPr>
      <t>ПР(В)</t>
    </r>
    <r>
      <rPr>
        <sz val="12"/>
        <rFont val="Times New Roman"/>
        <family val="1"/>
        <charset val="204"/>
      </rPr>
      <t xml:space="preserve"> = (В</t>
    </r>
    <r>
      <rPr>
        <vertAlign val="subscript"/>
        <sz val="12"/>
        <rFont val="Times New Roman"/>
        <family val="1"/>
        <charset val="204"/>
      </rPr>
      <t xml:space="preserve">1 </t>
    </r>
    <r>
      <rPr>
        <sz val="12"/>
        <rFont val="Times New Roman"/>
        <family val="1"/>
        <charset val="204"/>
      </rPr>
      <t>х (УВП</t>
    </r>
    <r>
      <rPr>
        <vertAlign val="subscript"/>
        <sz val="12"/>
        <rFont val="Times New Roman"/>
        <family val="1"/>
        <charset val="204"/>
      </rPr>
      <t xml:space="preserve">0 </t>
    </r>
    <r>
      <rPr>
        <sz val="12"/>
        <rFont val="Times New Roman"/>
        <family val="1"/>
        <charset val="204"/>
      </rPr>
      <t>- У</t>
    </r>
    <r>
      <rPr>
        <vertAlign val="subscript"/>
        <sz val="12"/>
        <rFont val="Times New Roman"/>
        <family val="1"/>
        <charset val="204"/>
      </rPr>
      <t>пер0</t>
    </r>
    <r>
      <rPr>
        <sz val="12"/>
        <rFont val="Times New Roman"/>
        <family val="1"/>
        <charset val="204"/>
      </rPr>
      <t>) / 100 - Р</t>
    </r>
    <r>
      <rPr>
        <vertAlign val="subscript"/>
        <sz val="12"/>
        <rFont val="Times New Roman"/>
        <family val="1"/>
        <charset val="204"/>
      </rPr>
      <t>n0</t>
    </r>
    <r>
      <rPr>
        <sz val="12"/>
        <rFont val="Times New Roman"/>
        <family val="1"/>
        <charset val="204"/>
      </rPr>
      <t>)</t>
    </r>
    <r>
      <rPr>
        <vertAlign val="subscript"/>
        <sz val="12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х 100 / В</t>
    </r>
    <r>
      <rPr>
        <vertAlign val="subscript"/>
        <sz val="12"/>
        <rFont val="Times New Roman"/>
        <family val="1"/>
        <charset val="204"/>
      </rPr>
      <t>1</t>
    </r>
    <r>
      <rPr>
        <sz val="12"/>
        <rFont val="Times New Roman"/>
        <family val="1"/>
        <charset val="204"/>
      </rPr>
      <t xml:space="preserve"> - (В</t>
    </r>
    <r>
      <rPr>
        <vertAlign val="subscript"/>
        <sz val="12"/>
        <rFont val="Times New Roman"/>
        <family val="1"/>
        <charset val="204"/>
      </rPr>
      <t xml:space="preserve">0 </t>
    </r>
    <r>
      <rPr>
        <sz val="12"/>
        <rFont val="Times New Roman"/>
        <family val="1"/>
        <charset val="204"/>
      </rPr>
      <t>х (УВП</t>
    </r>
    <r>
      <rPr>
        <vertAlign val="subscript"/>
        <sz val="12"/>
        <rFont val="Times New Roman"/>
        <family val="1"/>
        <charset val="204"/>
      </rPr>
      <t xml:space="preserve">0 </t>
    </r>
    <r>
      <rPr>
        <sz val="12"/>
        <rFont val="Times New Roman"/>
        <family val="1"/>
        <charset val="204"/>
      </rPr>
      <t>- У</t>
    </r>
    <r>
      <rPr>
        <vertAlign val="subscript"/>
        <sz val="12"/>
        <rFont val="Times New Roman"/>
        <family val="1"/>
        <charset val="204"/>
      </rPr>
      <t>пер0</t>
    </r>
    <r>
      <rPr>
        <sz val="12"/>
        <rFont val="Times New Roman"/>
        <family val="1"/>
        <charset val="204"/>
      </rPr>
      <t>) / 100 - Р</t>
    </r>
    <r>
      <rPr>
        <vertAlign val="subscript"/>
        <sz val="12"/>
        <rFont val="Times New Roman"/>
        <family val="1"/>
        <charset val="204"/>
      </rPr>
      <t>n0</t>
    </r>
    <r>
      <rPr>
        <sz val="12"/>
        <rFont val="Times New Roman"/>
        <family val="1"/>
        <charset val="204"/>
      </rPr>
      <t>) х 100 / В</t>
    </r>
    <r>
      <rPr>
        <vertAlign val="subscript"/>
        <sz val="12"/>
        <rFont val="Times New Roman"/>
        <family val="1"/>
        <charset val="204"/>
      </rPr>
      <t>0</t>
    </r>
  </si>
  <si>
    <r>
      <t>ΔР</t>
    </r>
    <r>
      <rPr>
        <vertAlign val="subscript"/>
        <sz val="12"/>
        <rFont val="Times New Roman"/>
        <family val="1"/>
        <charset val="204"/>
      </rPr>
      <t>ПР(УВП)</t>
    </r>
    <r>
      <rPr>
        <sz val="12"/>
        <rFont val="Times New Roman"/>
        <family val="1"/>
        <charset val="204"/>
      </rPr>
      <t xml:space="preserve"> = (В</t>
    </r>
    <r>
      <rPr>
        <vertAlign val="subscript"/>
        <sz val="12"/>
        <rFont val="Times New Roman"/>
        <family val="1"/>
        <charset val="204"/>
      </rPr>
      <t xml:space="preserve">1 </t>
    </r>
    <r>
      <rPr>
        <sz val="12"/>
        <rFont val="Times New Roman"/>
        <family val="1"/>
        <charset val="204"/>
      </rPr>
      <t>х (УВП</t>
    </r>
    <r>
      <rPr>
        <vertAlign val="subscript"/>
        <sz val="12"/>
        <rFont val="Times New Roman"/>
        <family val="1"/>
        <charset val="204"/>
      </rPr>
      <t xml:space="preserve">1 </t>
    </r>
    <r>
      <rPr>
        <sz val="12"/>
        <rFont val="Times New Roman"/>
        <family val="1"/>
        <charset val="204"/>
      </rPr>
      <t>- У</t>
    </r>
    <r>
      <rPr>
        <vertAlign val="subscript"/>
        <sz val="12"/>
        <rFont val="Times New Roman"/>
        <family val="1"/>
        <charset val="204"/>
      </rPr>
      <t>пер0</t>
    </r>
    <r>
      <rPr>
        <sz val="12"/>
        <rFont val="Times New Roman"/>
        <family val="1"/>
        <charset val="204"/>
      </rPr>
      <t>) / 100 - Р</t>
    </r>
    <r>
      <rPr>
        <vertAlign val="subscript"/>
        <sz val="12"/>
        <rFont val="Times New Roman"/>
        <family val="1"/>
        <charset val="204"/>
      </rPr>
      <t>n0</t>
    </r>
    <r>
      <rPr>
        <sz val="12"/>
        <rFont val="Times New Roman"/>
        <family val="1"/>
        <charset val="204"/>
      </rPr>
      <t>) х 100  / В</t>
    </r>
    <r>
      <rPr>
        <vertAlign val="subscript"/>
        <sz val="12"/>
        <rFont val="Times New Roman"/>
        <family val="1"/>
        <charset val="204"/>
      </rPr>
      <t>1</t>
    </r>
    <r>
      <rPr>
        <sz val="12"/>
        <rFont val="Times New Roman"/>
        <family val="1"/>
        <charset val="204"/>
      </rPr>
      <t xml:space="preserve"> - (В</t>
    </r>
    <r>
      <rPr>
        <vertAlign val="subscript"/>
        <sz val="12"/>
        <rFont val="Times New Roman"/>
        <family val="1"/>
        <charset val="204"/>
      </rPr>
      <t xml:space="preserve">1 </t>
    </r>
    <r>
      <rPr>
        <sz val="12"/>
        <rFont val="Times New Roman"/>
        <family val="1"/>
        <charset val="204"/>
      </rPr>
      <t>х (УВП</t>
    </r>
    <r>
      <rPr>
        <vertAlign val="subscript"/>
        <sz val="12"/>
        <rFont val="Times New Roman"/>
        <family val="1"/>
        <charset val="204"/>
      </rPr>
      <t xml:space="preserve">0 </t>
    </r>
    <r>
      <rPr>
        <sz val="12"/>
        <rFont val="Times New Roman"/>
        <family val="1"/>
        <charset val="204"/>
      </rPr>
      <t>- У</t>
    </r>
    <r>
      <rPr>
        <vertAlign val="subscript"/>
        <sz val="12"/>
        <rFont val="Times New Roman"/>
        <family val="1"/>
        <charset val="204"/>
      </rPr>
      <t>пер0</t>
    </r>
    <r>
      <rPr>
        <sz val="12"/>
        <rFont val="Times New Roman"/>
        <family val="1"/>
        <charset val="204"/>
      </rPr>
      <t>) / 100 - Р</t>
    </r>
    <r>
      <rPr>
        <vertAlign val="subscript"/>
        <sz val="12"/>
        <rFont val="Times New Roman"/>
        <family val="1"/>
        <charset val="204"/>
      </rPr>
      <t>n0</t>
    </r>
    <r>
      <rPr>
        <sz val="12"/>
        <rFont val="Times New Roman"/>
        <family val="1"/>
        <charset val="204"/>
      </rPr>
      <t>) х 100 / В</t>
    </r>
    <r>
      <rPr>
        <vertAlign val="subscript"/>
        <sz val="12"/>
        <rFont val="Times New Roman"/>
        <family val="1"/>
        <charset val="204"/>
      </rPr>
      <t>1</t>
    </r>
  </si>
  <si>
    <r>
      <t>ΔР</t>
    </r>
    <r>
      <rPr>
        <vertAlign val="subscript"/>
        <sz val="12"/>
        <rFont val="Times New Roman"/>
        <family val="1"/>
        <charset val="204"/>
      </rPr>
      <t>ПР(Упер)</t>
    </r>
    <r>
      <rPr>
        <sz val="12"/>
        <rFont val="Times New Roman"/>
        <family val="1"/>
        <charset val="204"/>
      </rPr>
      <t xml:space="preserve"> = (В</t>
    </r>
    <r>
      <rPr>
        <vertAlign val="subscript"/>
        <sz val="12"/>
        <rFont val="Times New Roman"/>
        <family val="1"/>
        <charset val="204"/>
      </rPr>
      <t xml:space="preserve">1 </t>
    </r>
    <r>
      <rPr>
        <sz val="12"/>
        <rFont val="Times New Roman"/>
        <family val="1"/>
        <charset val="204"/>
      </rPr>
      <t>х (УВП</t>
    </r>
    <r>
      <rPr>
        <vertAlign val="subscript"/>
        <sz val="12"/>
        <rFont val="Times New Roman"/>
        <family val="1"/>
        <charset val="204"/>
      </rPr>
      <t xml:space="preserve">1 </t>
    </r>
    <r>
      <rPr>
        <sz val="12"/>
        <rFont val="Times New Roman"/>
        <family val="1"/>
        <charset val="204"/>
      </rPr>
      <t>- У</t>
    </r>
    <r>
      <rPr>
        <vertAlign val="subscript"/>
        <sz val="12"/>
        <rFont val="Times New Roman"/>
        <family val="1"/>
        <charset val="204"/>
      </rPr>
      <t>пер1</t>
    </r>
    <r>
      <rPr>
        <sz val="12"/>
        <rFont val="Times New Roman"/>
        <family val="1"/>
        <charset val="204"/>
      </rPr>
      <t>) / 100 - Р</t>
    </r>
    <r>
      <rPr>
        <vertAlign val="subscript"/>
        <sz val="12"/>
        <rFont val="Times New Roman"/>
        <family val="1"/>
        <charset val="204"/>
      </rPr>
      <t>n0</t>
    </r>
    <r>
      <rPr>
        <sz val="12"/>
        <rFont val="Times New Roman"/>
        <family val="1"/>
        <charset val="204"/>
      </rPr>
      <t>) х 100 / В</t>
    </r>
    <r>
      <rPr>
        <vertAlign val="subscript"/>
        <sz val="12"/>
        <rFont val="Times New Roman"/>
        <family val="1"/>
        <charset val="204"/>
      </rPr>
      <t>1</t>
    </r>
    <r>
      <rPr>
        <sz val="12"/>
        <rFont val="Times New Roman"/>
        <family val="1"/>
        <charset val="204"/>
      </rPr>
      <t xml:space="preserve"> - (В</t>
    </r>
    <r>
      <rPr>
        <vertAlign val="subscript"/>
        <sz val="12"/>
        <rFont val="Times New Roman"/>
        <family val="1"/>
        <charset val="204"/>
      </rPr>
      <t xml:space="preserve">1 </t>
    </r>
    <r>
      <rPr>
        <sz val="12"/>
        <rFont val="Times New Roman"/>
        <family val="1"/>
        <charset val="204"/>
      </rPr>
      <t>х (УВП</t>
    </r>
    <r>
      <rPr>
        <vertAlign val="subscript"/>
        <sz val="12"/>
        <rFont val="Times New Roman"/>
        <family val="1"/>
        <charset val="204"/>
      </rPr>
      <t xml:space="preserve">1 </t>
    </r>
    <r>
      <rPr>
        <sz val="12"/>
        <rFont val="Times New Roman"/>
        <family val="1"/>
        <charset val="204"/>
      </rPr>
      <t>- У</t>
    </r>
    <r>
      <rPr>
        <vertAlign val="subscript"/>
        <sz val="12"/>
        <rFont val="Times New Roman"/>
        <family val="1"/>
        <charset val="204"/>
      </rPr>
      <t>пер0</t>
    </r>
    <r>
      <rPr>
        <sz val="12"/>
        <rFont val="Times New Roman"/>
        <family val="1"/>
        <charset val="204"/>
      </rPr>
      <t>) / 100 - Р</t>
    </r>
    <r>
      <rPr>
        <vertAlign val="subscript"/>
        <sz val="12"/>
        <rFont val="Times New Roman"/>
        <family val="1"/>
        <charset val="204"/>
      </rPr>
      <t>n0</t>
    </r>
    <r>
      <rPr>
        <sz val="12"/>
        <rFont val="Times New Roman"/>
        <family val="1"/>
        <charset val="204"/>
      </rPr>
      <t>) х 100 / В</t>
    </r>
    <r>
      <rPr>
        <vertAlign val="subscript"/>
        <sz val="12"/>
        <rFont val="Times New Roman"/>
        <family val="1"/>
        <charset val="204"/>
      </rPr>
      <t>1</t>
    </r>
  </si>
  <si>
    <r>
      <t>ΔР</t>
    </r>
    <r>
      <rPr>
        <vertAlign val="subscript"/>
        <sz val="12"/>
        <rFont val="Times New Roman"/>
        <family val="1"/>
        <charset val="204"/>
      </rPr>
      <t>ПР(Рn)</t>
    </r>
    <r>
      <rPr>
        <sz val="12"/>
        <rFont val="Times New Roman"/>
        <family val="1"/>
        <charset val="204"/>
      </rPr>
      <t xml:space="preserve"> = (В</t>
    </r>
    <r>
      <rPr>
        <vertAlign val="subscript"/>
        <sz val="12"/>
        <rFont val="Times New Roman"/>
        <family val="1"/>
        <charset val="204"/>
      </rPr>
      <t xml:space="preserve">1 </t>
    </r>
    <r>
      <rPr>
        <sz val="12"/>
        <rFont val="Times New Roman"/>
        <family val="1"/>
        <charset val="204"/>
      </rPr>
      <t>х (УВП</t>
    </r>
    <r>
      <rPr>
        <vertAlign val="subscript"/>
        <sz val="12"/>
        <rFont val="Times New Roman"/>
        <family val="1"/>
        <charset val="204"/>
      </rPr>
      <t xml:space="preserve">1 </t>
    </r>
    <r>
      <rPr>
        <sz val="12"/>
        <rFont val="Times New Roman"/>
        <family val="1"/>
        <charset val="204"/>
      </rPr>
      <t>- У</t>
    </r>
    <r>
      <rPr>
        <vertAlign val="subscript"/>
        <sz val="12"/>
        <rFont val="Times New Roman"/>
        <family val="1"/>
        <charset val="204"/>
      </rPr>
      <t>пер1</t>
    </r>
    <r>
      <rPr>
        <sz val="12"/>
        <rFont val="Times New Roman"/>
        <family val="1"/>
        <charset val="204"/>
      </rPr>
      <t>) / 100 - Р</t>
    </r>
    <r>
      <rPr>
        <vertAlign val="subscript"/>
        <sz val="12"/>
        <rFont val="Times New Roman"/>
        <family val="1"/>
        <charset val="204"/>
      </rPr>
      <t>n1</t>
    </r>
    <r>
      <rPr>
        <sz val="12"/>
        <rFont val="Times New Roman"/>
        <family val="1"/>
        <charset val="204"/>
      </rPr>
      <t>) х 100 / В</t>
    </r>
    <r>
      <rPr>
        <vertAlign val="subscript"/>
        <sz val="12"/>
        <rFont val="Times New Roman"/>
        <family val="1"/>
        <charset val="204"/>
      </rPr>
      <t>1</t>
    </r>
    <r>
      <rPr>
        <sz val="12"/>
        <rFont val="Times New Roman"/>
        <family val="1"/>
        <charset val="204"/>
      </rPr>
      <t xml:space="preserve"> - (В</t>
    </r>
    <r>
      <rPr>
        <vertAlign val="subscript"/>
        <sz val="12"/>
        <rFont val="Times New Roman"/>
        <family val="1"/>
        <charset val="204"/>
      </rPr>
      <t xml:space="preserve">1 </t>
    </r>
    <r>
      <rPr>
        <sz val="12"/>
        <rFont val="Times New Roman"/>
        <family val="1"/>
        <charset val="204"/>
      </rPr>
      <t>х (УВП</t>
    </r>
    <r>
      <rPr>
        <vertAlign val="subscript"/>
        <sz val="12"/>
        <rFont val="Times New Roman"/>
        <family val="1"/>
        <charset val="204"/>
      </rPr>
      <t xml:space="preserve">1 </t>
    </r>
    <r>
      <rPr>
        <sz val="12"/>
        <rFont val="Times New Roman"/>
        <family val="1"/>
        <charset val="204"/>
      </rPr>
      <t>- У</t>
    </r>
    <r>
      <rPr>
        <vertAlign val="subscript"/>
        <sz val="12"/>
        <rFont val="Times New Roman"/>
        <family val="1"/>
        <charset val="204"/>
      </rPr>
      <t>пер1</t>
    </r>
    <r>
      <rPr>
        <sz val="12"/>
        <rFont val="Times New Roman"/>
        <family val="1"/>
        <charset val="204"/>
      </rPr>
      <t>) / 100 - Р</t>
    </r>
    <r>
      <rPr>
        <vertAlign val="subscript"/>
        <sz val="12"/>
        <rFont val="Times New Roman"/>
        <family val="1"/>
        <charset val="204"/>
      </rPr>
      <t>n0</t>
    </r>
    <r>
      <rPr>
        <sz val="12"/>
        <rFont val="Times New Roman"/>
        <family val="1"/>
        <charset val="204"/>
      </rPr>
      <t>) х 100 / В</t>
    </r>
    <r>
      <rPr>
        <vertAlign val="subscript"/>
        <sz val="12"/>
        <rFont val="Times New Roman"/>
        <family val="1"/>
        <charset val="204"/>
      </rPr>
      <t>1</t>
    </r>
  </si>
  <si>
    <r>
      <t>расчет (ΔР</t>
    </r>
    <r>
      <rPr>
        <vertAlign val="subscript"/>
        <sz val="12"/>
        <color indexed="8"/>
        <rFont val="Times New Roman"/>
        <family val="1"/>
        <charset val="204"/>
      </rPr>
      <t>ПР(В)</t>
    </r>
    <r>
      <rPr>
        <sz val="12"/>
        <color indexed="8"/>
        <rFont val="Times New Roman"/>
        <family val="1"/>
        <charset val="204"/>
      </rPr>
      <t>)</t>
    </r>
  </si>
  <si>
    <r>
      <t>5. Рентабельность продаж (Р</t>
    </r>
    <r>
      <rPr>
        <vertAlign val="subscript"/>
        <sz val="12"/>
        <color indexed="8"/>
        <rFont val="Times New Roman"/>
        <family val="1"/>
        <charset val="204"/>
      </rPr>
      <t>пр</t>
    </r>
    <r>
      <rPr>
        <sz val="12"/>
        <color indexed="8"/>
        <rFont val="Times New Roman"/>
        <family val="1"/>
        <charset val="204"/>
      </rPr>
      <t>), %</t>
    </r>
  </si>
  <si>
    <t>Таблица 17</t>
  </si>
  <si>
    <r>
      <t>Выровненные показатели рентабельности продаж (Р</t>
    </r>
    <r>
      <rPr>
        <vertAlign val="subscript"/>
        <sz val="12"/>
        <rFont val="Times New Roman"/>
        <family val="1"/>
        <charset val="204"/>
      </rPr>
      <t>пр</t>
    </r>
    <r>
      <rPr>
        <sz val="12"/>
        <rFont val="Times New Roman"/>
        <family val="1"/>
        <charset val="204"/>
      </rPr>
      <t>), %</t>
    </r>
  </si>
  <si>
    <t>Количество рассчитанных значений выровненного показателя рентабельности продаж</t>
  </si>
  <si>
    <r>
      <t>Прирост Р</t>
    </r>
    <r>
      <rPr>
        <vertAlign val="subscript"/>
        <sz val="12"/>
        <rFont val="Times New Roman"/>
        <family val="1"/>
        <charset val="204"/>
      </rPr>
      <t>пр</t>
    </r>
    <r>
      <rPr>
        <sz val="12"/>
        <rFont val="Times New Roman"/>
        <family val="1"/>
        <charset val="204"/>
      </rPr>
      <t xml:space="preserve"> =</t>
    </r>
  </si>
  <si>
    <r>
      <t>Р</t>
    </r>
    <r>
      <rPr>
        <vertAlign val="subscript"/>
        <sz val="12"/>
        <rFont val="Times New Roman"/>
        <family val="1"/>
        <charset val="204"/>
      </rPr>
      <t>пр.след.период</t>
    </r>
    <r>
      <rPr>
        <sz val="12"/>
        <rFont val="Times New Roman"/>
        <family val="1"/>
        <charset val="204"/>
      </rPr>
      <t xml:space="preserve"> =</t>
    </r>
  </si>
  <si>
    <r>
      <t>Ожидаемая рентабельность продаж (Р</t>
    </r>
    <r>
      <rPr>
        <vertAlign val="subscript"/>
        <sz val="12"/>
        <rFont val="Times New Roman"/>
        <family val="1"/>
        <charset val="204"/>
      </rPr>
      <t>пр</t>
    </r>
    <r>
      <rPr>
        <sz val="12"/>
        <rFont val="Times New Roman"/>
        <family val="1"/>
        <charset val="204"/>
      </rPr>
      <t>) УП «Аристо» на следующий период, %</t>
    </r>
  </si>
  <si>
    <t xml:space="preserve">Для упрощения расчетов умножим первое уравнение на </t>
  </si>
  <si>
    <r>
      <t>Ожидаемая прибыль от реализации (П</t>
    </r>
    <r>
      <rPr>
        <vertAlign val="subscript"/>
        <sz val="12"/>
        <rFont val="Times New Roman"/>
        <family val="1"/>
        <charset val="204"/>
      </rPr>
      <t>р</t>
    </r>
    <r>
      <rPr>
        <sz val="12"/>
        <rFont val="Times New Roman"/>
        <family val="1"/>
        <charset val="204"/>
      </rPr>
      <t>) УП «Аристо» на следующий период</t>
    </r>
  </si>
  <si>
    <t>Рентабельность продаж, %</t>
  </si>
  <si>
    <t>1. Выручка от реализации товаров (В), млн.руб.</t>
  </si>
  <si>
    <t>2. Уровень валовой прибыли (УВП), %</t>
  </si>
  <si>
    <r>
      <t>3. Уровень условно-переменных расходов на реализацию товаров (У</t>
    </r>
    <r>
      <rPr>
        <vertAlign val="subscript"/>
        <sz val="12"/>
        <color indexed="8"/>
        <rFont val="Times New Roman"/>
        <family val="1"/>
        <charset val="204"/>
      </rPr>
      <t>пер</t>
    </r>
    <r>
      <rPr>
        <sz val="12"/>
        <color indexed="8"/>
        <rFont val="Times New Roman"/>
        <family val="1"/>
        <charset val="204"/>
      </rPr>
      <t>), %</t>
    </r>
  </si>
  <si>
    <r>
      <t>4. Сумма условно-постоянных расходов на реализацию товаров (Р</t>
    </r>
    <r>
      <rPr>
        <vertAlign val="subscript"/>
        <sz val="12"/>
        <color indexed="8"/>
        <rFont val="Times New Roman"/>
        <family val="1"/>
        <charset val="204"/>
      </rPr>
      <t>п</t>
    </r>
    <r>
      <rPr>
        <sz val="12"/>
        <color indexed="8"/>
        <rFont val="Times New Roman"/>
        <family val="1"/>
        <charset val="204"/>
      </rPr>
      <t>), млн.руб.</t>
    </r>
  </si>
  <si>
    <r>
      <t>В</t>
    </r>
    <r>
      <rPr>
        <vertAlign val="subscript"/>
        <sz val="12"/>
        <rFont val="B_info"/>
        <family val="1"/>
        <charset val="204"/>
      </rPr>
      <t>безубыт</t>
    </r>
    <r>
      <rPr>
        <sz val="12"/>
        <rFont val="B_info"/>
        <family val="1"/>
        <charset val="204"/>
      </rPr>
      <t xml:space="preserve"> = P</t>
    </r>
    <r>
      <rPr>
        <vertAlign val="subscript"/>
        <sz val="12"/>
        <rFont val="B_info"/>
        <family val="1"/>
        <charset val="204"/>
      </rPr>
      <t>п</t>
    </r>
    <r>
      <rPr>
        <sz val="12"/>
        <rFont val="B_info"/>
        <family val="1"/>
        <charset val="204"/>
      </rPr>
      <t xml:space="preserve"> / (УВП - У</t>
    </r>
    <r>
      <rPr>
        <vertAlign val="subscript"/>
        <sz val="12"/>
        <rFont val="B_info"/>
        <family val="1"/>
        <charset val="204"/>
      </rPr>
      <t>пер</t>
    </r>
    <r>
      <rPr>
        <sz val="12"/>
        <rFont val="B_info"/>
        <family val="1"/>
        <charset val="204"/>
      </rPr>
      <t xml:space="preserve">) = </t>
    </r>
  </si>
  <si>
    <t>Расчет точки безубыточности (млн.руб.):</t>
  </si>
  <si>
    <r>
      <t>ЗФБ = (В</t>
    </r>
    <r>
      <rPr>
        <vertAlign val="subscript"/>
        <sz val="12"/>
        <rFont val="B_info"/>
        <family val="1"/>
        <charset val="204"/>
      </rPr>
      <t>факт</t>
    </r>
    <r>
      <rPr>
        <sz val="12"/>
        <rFont val="B_info"/>
        <family val="1"/>
        <charset val="204"/>
      </rPr>
      <t xml:space="preserve"> - В</t>
    </r>
    <r>
      <rPr>
        <vertAlign val="subscript"/>
        <sz val="12"/>
        <rFont val="B_info"/>
        <family val="1"/>
        <charset val="204"/>
      </rPr>
      <t>безубыт</t>
    </r>
    <r>
      <rPr>
        <sz val="12"/>
        <rFont val="B_info"/>
        <family val="1"/>
        <charset val="204"/>
      </rPr>
      <t>) / В</t>
    </r>
    <r>
      <rPr>
        <vertAlign val="subscript"/>
        <sz val="12"/>
        <rFont val="B_info"/>
        <family val="1"/>
        <charset val="204"/>
      </rPr>
      <t>факт</t>
    </r>
    <r>
      <rPr>
        <sz val="12"/>
        <rFont val="B_info"/>
        <family val="1"/>
        <charset val="204"/>
      </rPr>
      <t xml:space="preserve"> х 100 = </t>
    </r>
  </si>
  <si>
    <t>Расчет запаса прочности, %:</t>
  </si>
  <si>
    <t>млн.руб.</t>
  </si>
  <si>
    <t>Пр.след.период:</t>
  </si>
  <si>
    <r>
      <t>Ожидаемая рентабельность продаж (Р</t>
    </r>
    <r>
      <rPr>
        <vertAlign val="subscript"/>
        <sz val="12"/>
        <rFont val="Times New Roman"/>
        <family val="1"/>
        <charset val="204"/>
      </rPr>
      <t>пр</t>
    </r>
    <r>
      <rPr>
        <sz val="12"/>
        <rFont val="Times New Roman"/>
        <family val="1"/>
        <charset val="204"/>
      </rPr>
      <t>) УП «Аристо» на следующий период:</t>
    </r>
  </si>
  <si>
    <r>
      <t>Р</t>
    </r>
    <r>
      <rPr>
        <vertAlign val="subscript"/>
        <sz val="12"/>
        <rFont val="Times New Roman"/>
        <family val="1"/>
        <charset val="204"/>
      </rPr>
      <t>пр.след.период</t>
    </r>
    <r>
      <rPr>
        <sz val="12"/>
        <rFont val="Times New Roman"/>
        <family val="1"/>
        <charset val="204"/>
      </rPr>
      <t xml:space="preserve"> = (</t>
    </r>
  </si>
  <si>
    <t>Сумма выручки от реализации, которая обеспечивает организации необходимую (прогнозную) сумму прибыли от реализации товаров:</t>
  </si>
  <si>
    <r>
      <t>В</t>
    </r>
    <r>
      <rPr>
        <vertAlign val="subscript"/>
        <sz val="12"/>
        <rFont val="B_info"/>
        <family val="1"/>
        <charset val="204"/>
      </rPr>
      <t>прогн.след.год</t>
    </r>
    <r>
      <rPr>
        <sz val="12"/>
        <rFont val="B_info"/>
        <family val="1"/>
        <charset val="204"/>
      </rPr>
      <t xml:space="preserve"> = (Р</t>
    </r>
    <r>
      <rPr>
        <vertAlign val="subscript"/>
        <sz val="12"/>
        <rFont val="B_info"/>
        <family val="1"/>
        <charset val="204"/>
      </rPr>
      <t>п</t>
    </r>
    <r>
      <rPr>
        <sz val="12"/>
        <rFont val="B_info"/>
        <family val="1"/>
        <charset val="204"/>
      </rPr>
      <t xml:space="preserve"> + НП) / (УВП - У</t>
    </r>
    <r>
      <rPr>
        <vertAlign val="subscript"/>
        <sz val="12"/>
        <rFont val="B_info"/>
        <family val="1"/>
        <charset val="204"/>
      </rPr>
      <t>пер</t>
    </r>
    <r>
      <rPr>
        <sz val="12"/>
        <rFont val="B_info"/>
        <family val="1"/>
        <charset val="204"/>
      </rPr>
      <t xml:space="preserve">), млн.руб.:  </t>
    </r>
  </si>
  <si>
    <t>Подготовлено редакцией АПС «Бизнес-Инфо» (ООО «Профессиональные правовые системы»)</t>
  </si>
  <si>
    <t>Источник данных (формы бухгалтерской отчетности, утвержденные постановлением Минфина РБ 
от 31.10.2011 № 111 (в редакции от 30.04.2012 № 25))</t>
  </si>
  <si>
    <t>Себестоимость реализованной продукции, товаров, работ, услуг (покупная стоимость товаров)</t>
  </si>
  <si>
    <t>Расходы на реализацию и управленческие расходы (далее - расходы на реализацию)</t>
  </si>
  <si>
    <t>Форма статистической отчетности 1-труд</t>
  </si>
  <si>
    <t>Отклонение  (гр.3 - гр.2)</t>
  </si>
  <si>
    <t>3.2. Товарообора-чиваемость, дни</t>
  </si>
  <si>
    <t>удель-ный вес, %     (гр5 - гр.3)</t>
  </si>
  <si>
    <t>от прошло-го года</t>
  </si>
  <si>
    <t>2.1. Покупная  стоимость реализованных товаров и сырья</t>
  </si>
  <si>
    <t>2.2. Расходы на реализацию товаров</t>
  </si>
  <si>
    <t>Алгоритм расчета влияния факторов на динамику прибыли от реализации товаров и продукции УП «Аристо» по методике 
Толкачевой Е.Г. за прошлый и отчетный годы</t>
  </si>
  <si>
    <t>Прибыль, млн.руб.</t>
  </si>
  <si>
    <t>Средства на оплату труда, млн.руб.</t>
  </si>
  <si>
    <t>Откло-нение (гр.3 - гр.2)</t>
  </si>
  <si>
    <t>2.1. Расходы на реализацию товаров</t>
  </si>
  <si>
    <t>4.1. Рентабельность продаж (стр.3 / стр.1 х 100)</t>
  </si>
  <si>
    <t>4.2 Рентабельность совокупных расходов 
(стр.3 / стр.2 х 100)</t>
  </si>
  <si>
    <t>4.3. Рентабельность текущих затрат (или расходов на реализацию) (стр.3 / стр.2.1 х 100)</t>
  </si>
  <si>
    <t>Таблица 14</t>
  </si>
  <si>
    <t>Методика расчета влияния выручки от реализации товаров, уровня валовой прибыли и условно-переменных расходов, суммы условно-постоянных расходов на изменение рентабельности продаж 
УП «Аристо» за прошлый и отчетный годы</t>
  </si>
  <si>
    <t>Информация для расчета планируемой рентабельности продаж 
УП «Аристо» по методу скользящей средней</t>
  </si>
  <si>
    <t>1-е полугодие прошлого года</t>
  </si>
  <si>
    <t>2-е полугодие прошлого года</t>
  </si>
  <si>
    <t>1-е полугодие отчетного года</t>
  </si>
  <si>
    <t>2-е полугодие отчетного года</t>
  </si>
  <si>
    <t>Пр.1-го полугодия след.период:</t>
  </si>
  <si>
    <t>Пр.2-го полугодия след.период:</t>
  </si>
  <si>
    <r>
      <rPr>
        <i/>
        <sz val="12"/>
        <rFont val="Times New Roman"/>
        <family val="1"/>
        <charset val="204"/>
      </rPr>
      <t>(</t>
    </r>
    <r>
      <rPr>
        <i/>
        <sz val="10"/>
        <rFont val="Times New Roman"/>
        <family val="1"/>
        <charset val="204"/>
      </rPr>
      <t>млн.руб.)</t>
    </r>
  </si>
</sst>
</file>

<file path=xl/styles.xml><?xml version="1.0" encoding="utf-8"?>
<styleSheet xmlns="http://schemas.openxmlformats.org/spreadsheetml/2006/main">
  <numFmts count="1">
    <numFmt numFmtId="164" formatCode="#,##0.0"/>
  </numFmts>
  <fonts count="32">
    <font>
      <sz val="10"/>
      <name val="Arial Cyr"/>
      <charset val="204"/>
    </font>
    <font>
      <sz val="12"/>
      <name val="B_info"/>
      <family val="1"/>
      <charset val="204"/>
    </font>
    <font>
      <sz val="8"/>
      <name val="Arial Cyr"/>
      <charset val="204"/>
    </font>
    <font>
      <sz val="10"/>
      <name val="Arial"/>
      <family val="2"/>
      <charset val="204"/>
    </font>
    <font>
      <i/>
      <sz val="9"/>
      <color indexed="1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i/>
      <u/>
      <sz val="10"/>
      <name val="Times New Roman"/>
      <family val="1"/>
      <charset val="204"/>
    </font>
    <font>
      <sz val="14"/>
      <name val="Times New Roman"/>
      <family val="1"/>
      <charset val="204"/>
    </font>
    <font>
      <i/>
      <sz val="10"/>
      <name val="Times New Roman"/>
      <family val="1"/>
      <charset val="204"/>
    </font>
    <font>
      <sz val="12"/>
      <color indexed="11"/>
      <name val="Times New Roman"/>
      <family val="1"/>
      <charset val="204"/>
    </font>
    <font>
      <sz val="12"/>
      <color indexed="12"/>
      <name val="Times New Roman"/>
      <family val="1"/>
      <charset val="204"/>
    </font>
    <font>
      <b/>
      <sz val="12"/>
      <color indexed="81"/>
      <name val="Times New Roman"/>
      <family val="1"/>
      <charset val="204"/>
    </font>
    <font>
      <sz val="10"/>
      <name val="Times New Roman"/>
      <family val="1"/>
      <charset val="204"/>
    </font>
    <font>
      <vertAlign val="subscript"/>
      <sz val="12"/>
      <name val="Times New Roman"/>
      <family val="1"/>
      <charset val="204"/>
    </font>
    <font>
      <sz val="12"/>
      <name val="Symbol"/>
      <family val="1"/>
      <charset val="2"/>
    </font>
    <font>
      <sz val="12"/>
      <color indexed="20"/>
      <name val="Times New Roman"/>
      <family val="1"/>
      <charset val="204"/>
    </font>
    <font>
      <sz val="12"/>
      <name val="Arial Cyr"/>
      <charset val="204"/>
    </font>
    <font>
      <sz val="11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i/>
      <u/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0"/>
      <color indexed="81"/>
      <name val="Arial Cyr"/>
      <charset val="204"/>
    </font>
    <font>
      <sz val="12"/>
      <color rgb="FF0000FF"/>
      <name val="Times New Roman"/>
      <family val="1"/>
      <charset val="204"/>
    </font>
    <font>
      <sz val="12"/>
      <color rgb="FF0000FF"/>
      <name val="B_info"/>
      <family val="1"/>
      <charset val="204"/>
    </font>
    <font>
      <b/>
      <sz val="14"/>
      <color rgb="FF0000FF"/>
      <name val="Times New Roman"/>
      <family val="1"/>
      <charset val="204"/>
    </font>
    <font>
      <b/>
      <sz val="14"/>
      <color rgb="FF0000CC"/>
      <name val="Times New Roman"/>
      <family val="1"/>
      <charset val="204"/>
    </font>
    <font>
      <vertAlign val="subscript"/>
      <sz val="12"/>
      <color indexed="8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vertAlign val="subscript"/>
      <sz val="12"/>
      <name val="B_info"/>
      <family val="1"/>
      <charset val="204"/>
    </font>
    <font>
      <i/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5" fillId="0" borderId="0">
      <alignment horizontal="justify" vertical="top" wrapText="1"/>
    </xf>
  </cellStyleXfs>
  <cellXfs count="151">
    <xf numFmtId="0" fontId="0" fillId="0" borderId="0" xfId="0"/>
    <xf numFmtId="0" fontId="4" fillId="0" borderId="0" xfId="1" applyFont="1" applyFill="1" applyAlignment="1">
      <alignment horizontal="right" vertical="top" wrapText="1"/>
    </xf>
    <xf numFmtId="0" fontId="18" fillId="0" borderId="0" xfId="2" applyFont="1" applyFill="1" applyBorder="1" applyAlignment="1">
      <alignment horizontal="justify" vertical="top" wrapText="1"/>
    </xf>
    <xf numFmtId="0" fontId="6" fillId="0" borderId="0" xfId="2" applyFont="1" applyFill="1" applyBorder="1" applyAlignment="1">
      <alignment horizontal="justify" vertical="top" wrapText="1"/>
    </xf>
    <xf numFmtId="0" fontId="5" fillId="0" borderId="0" xfId="2" applyFill="1">
      <alignment horizontal="justify" vertical="top" wrapText="1"/>
    </xf>
    <xf numFmtId="0" fontId="5" fillId="0" borderId="0" xfId="2" applyFont="1" applyFill="1">
      <alignment horizontal="justify" vertical="top" wrapText="1"/>
    </xf>
    <xf numFmtId="0" fontId="1" fillId="2" borderId="0" xfId="0" applyFont="1" applyFill="1"/>
    <xf numFmtId="0" fontId="0" fillId="2" borderId="0" xfId="0" applyFill="1"/>
    <xf numFmtId="0" fontId="4" fillId="2" borderId="0" xfId="1" applyFont="1" applyFill="1" applyAlignment="1">
      <alignment horizontal="right" vertical="top" wrapText="1"/>
    </xf>
    <xf numFmtId="0" fontId="0" fillId="0" borderId="0" xfId="0" applyFill="1"/>
    <xf numFmtId="0" fontId="6" fillId="0" borderId="0" xfId="2" applyFont="1" applyFill="1">
      <alignment horizontal="justify" vertical="top" wrapText="1"/>
    </xf>
    <xf numFmtId="0" fontId="7" fillId="0" borderId="0" xfId="2" applyFont="1" applyFill="1" applyAlignment="1">
      <alignment horizontal="right" vertical="top" wrapText="1"/>
    </xf>
    <xf numFmtId="0" fontId="6" fillId="0" borderId="1" xfId="2" applyFont="1" applyFill="1" applyBorder="1" applyAlignment="1">
      <alignment horizontal="left" vertical="top" wrapText="1"/>
    </xf>
    <xf numFmtId="0" fontId="6" fillId="3" borderId="1" xfId="2" applyFont="1" applyFill="1" applyBorder="1" applyAlignment="1">
      <alignment horizontal="center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3" fontId="10" fillId="0" borderId="1" xfId="2" applyNumberFormat="1" applyFont="1" applyFill="1" applyBorder="1" applyAlignment="1">
      <alignment horizontal="center" vertical="center" wrapText="1"/>
    </xf>
    <xf numFmtId="4" fontId="11" fillId="0" borderId="1" xfId="2" applyNumberFormat="1" applyFont="1" applyFill="1" applyBorder="1" applyAlignment="1">
      <alignment horizontal="center" vertical="center" wrapText="1"/>
    </xf>
    <xf numFmtId="3" fontId="6" fillId="0" borderId="1" xfId="2" applyNumberFormat="1" applyFont="1" applyFill="1" applyBorder="1" applyAlignment="1">
      <alignment horizontal="left" vertical="top" wrapText="1"/>
    </xf>
    <xf numFmtId="3" fontId="6" fillId="4" borderId="1" xfId="2" applyNumberFormat="1" applyFont="1" applyFill="1" applyBorder="1" applyAlignment="1">
      <alignment horizontal="center" vertical="center" wrapText="1"/>
    </xf>
    <xf numFmtId="4" fontId="6" fillId="4" borderId="1" xfId="2" applyNumberFormat="1" applyFont="1" applyFill="1" applyBorder="1" applyAlignment="1">
      <alignment horizontal="center" vertical="center" wrapText="1"/>
    </xf>
    <xf numFmtId="4" fontId="24" fillId="0" borderId="1" xfId="2" applyNumberFormat="1" applyFont="1" applyFill="1" applyBorder="1" applyAlignment="1">
      <alignment horizontal="center" vertical="center" wrapText="1"/>
    </xf>
    <xf numFmtId="0" fontId="13" fillId="0" borderId="0" xfId="2" applyFont="1" applyFill="1">
      <alignment horizontal="justify" vertical="top" wrapText="1"/>
    </xf>
    <xf numFmtId="3" fontId="11" fillId="0" borderId="1" xfId="2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top" wrapText="1"/>
    </xf>
    <xf numFmtId="0" fontId="6" fillId="3" borderId="1" xfId="2" applyFont="1" applyFill="1" applyBorder="1" applyAlignment="1">
      <alignment horizontal="center" vertical="top" wrapText="1"/>
    </xf>
    <xf numFmtId="0" fontId="7" fillId="0" borderId="0" xfId="2" applyFont="1" applyFill="1" applyAlignment="1">
      <alignment horizontal="right" vertical="top"/>
    </xf>
    <xf numFmtId="0" fontId="6" fillId="0" borderId="0" xfId="2" applyFont="1" applyFill="1" applyAlignment="1">
      <alignment horizontal="justify"/>
    </xf>
    <xf numFmtId="3" fontId="6" fillId="3" borderId="1" xfId="2" applyNumberFormat="1" applyFont="1" applyFill="1" applyBorder="1" applyAlignment="1">
      <alignment horizontal="center" vertical="top" wrapText="1"/>
    </xf>
    <xf numFmtId="0" fontId="6" fillId="0" borderId="1" xfId="2" applyFont="1" applyFill="1" applyBorder="1" applyAlignment="1">
      <alignment horizontal="center" vertical="center" wrapText="1"/>
    </xf>
    <xf numFmtId="0" fontId="15" fillId="0" borderId="1" xfId="2" applyFont="1" applyFill="1" applyBorder="1" applyAlignment="1">
      <alignment horizontal="center" vertical="center" wrapText="1"/>
    </xf>
    <xf numFmtId="0" fontId="9" fillId="0" borderId="0" xfId="2" applyFont="1" applyFill="1" applyAlignment="1">
      <alignment horizontal="right"/>
    </xf>
    <xf numFmtId="0" fontId="6" fillId="0" borderId="1" xfId="2" applyFont="1" applyFill="1" applyBorder="1" applyAlignment="1">
      <alignment horizontal="center" vertical="top" wrapText="1"/>
    </xf>
    <xf numFmtId="4" fontId="16" fillId="0" borderId="1" xfId="2" applyNumberFormat="1" applyFont="1" applyFill="1" applyBorder="1" applyAlignment="1">
      <alignment horizontal="center" vertical="center" wrapText="1"/>
    </xf>
    <xf numFmtId="0" fontId="17" fillId="0" borderId="0" xfId="2" applyFont="1" applyFill="1">
      <alignment horizontal="justify" vertical="top" wrapText="1"/>
    </xf>
    <xf numFmtId="0" fontId="15" fillId="0" borderId="1" xfId="2" applyFont="1" applyFill="1" applyBorder="1" applyAlignment="1">
      <alignment horizontal="center" vertical="top" wrapText="1"/>
    </xf>
    <xf numFmtId="4" fontId="10" fillId="0" borderId="1" xfId="2" applyNumberFormat="1" applyFont="1" applyFill="1" applyBorder="1" applyAlignment="1">
      <alignment horizontal="center" vertical="center" wrapText="1"/>
    </xf>
    <xf numFmtId="4" fontId="6" fillId="0" borderId="1" xfId="2" applyNumberFormat="1" applyFont="1" applyFill="1" applyBorder="1" applyAlignment="1">
      <alignment horizontal="left" vertical="top" wrapText="1"/>
    </xf>
    <xf numFmtId="0" fontId="6" fillId="3" borderId="1" xfId="2" applyFont="1" applyFill="1" applyBorder="1" applyAlignment="1">
      <alignment horizontal="center" vertical="top" wrapText="1"/>
    </xf>
    <xf numFmtId="0" fontId="6" fillId="3" borderId="1" xfId="2" applyFont="1" applyFill="1" applyBorder="1" applyAlignment="1">
      <alignment horizontal="center" vertical="top" wrapText="1"/>
    </xf>
    <xf numFmtId="3" fontId="25" fillId="0" borderId="1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4" fontId="0" fillId="2" borderId="0" xfId="0" applyNumberFormat="1" applyFill="1"/>
    <xf numFmtId="3" fontId="6" fillId="0" borderId="0" xfId="2" applyNumberFormat="1" applyFont="1" applyFill="1">
      <alignment horizontal="justify" vertical="top" wrapText="1"/>
    </xf>
    <xf numFmtId="0" fontId="6" fillId="3" borderId="1" xfId="2" applyFont="1" applyFill="1" applyBorder="1" applyAlignment="1">
      <alignment horizontal="center" vertical="top" wrapText="1"/>
    </xf>
    <xf numFmtId="0" fontId="5" fillId="2" borderId="0" xfId="2" applyFill="1">
      <alignment horizontal="justify" vertical="top" wrapText="1"/>
    </xf>
    <xf numFmtId="0" fontId="6" fillId="2" borderId="0" xfId="2" applyFont="1" applyFill="1">
      <alignment horizontal="justify" vertical="top" wrapText="1"/>
    </xf>
    <xf numFmtId="0" fontId="6" fillId="2" borderId="0" xfId="2" applyFont="1" applyFill="1" applyAlignment="1">
      <alignment horizontal="center" vertical="top" wrapText="1"/>
    </xf>
    <xf numFmtId="4" fontId="6" fillId="2" borderId="0" xfId="2" applyNumberFormat="1" applyFont="1" applyFill="1">
      <alignment horizontal="justify" vertical="top" wrapText="1"/>
    </xf>
    <xf numFmtId="4" fontId="6" fillId="0" borderId="0" xfId="2" applyNumberFormat="1" applyFont="1" applyFill="1">
      <alignment horizontal="justify" vertical="top" wrapText="1"/>
    </xf>
    <xf numFmtId="2" fontId="11" fillId="0" borderId="1" xfId="2" applyNumberFormat="1" applyFont="1" applyFill="1" applyBorder="1" applyAlignment="1">
      <alignment horizontal="center" vertical="center" wrapText="1"/>
    </xf>
    <xf numFmtId="0" fontId="8" fillId="2" borderId="0" xfId="2" applyFont="1" applyFill="1" applyAlignment="1">
      <alignment horizontal="center" vertical="top" wrapText="1"/>
    </xf>
    <xf numFmtId="0" fontId="8" fillId="0" borderId="0" xfId="2" applyFont="1" applyFill="1" applyAlignment="1">
      <alignment horizontal="center" vertical="top" wrapText="1"/>
    </xf>
    <xf numFmtId="1" fontId="11" fillId="0" borderId="1" xfId="2" applyNumberFormat="1" applyFont="1" applyFill="1" applyBorder="1" applyAlignment="1">
      <alignment horizontal="center" vertical="center" wrapText="1"/>
    </xf>
    <xf numFmtId="0" fontId="6" fillId="4" borderId="1" xfId="2" applyFont="1" applyFill="1" applyBorder="1" applyAlignment="1">
      <alignment horizontal="center" vertical="center" wrapText="1"/>
    </xf>
    <xf numFmtId="0" fontId="6" fillId="3" borderId="1" xfId="2" applyFont="1" applyFill="1" applyBorder="1" applyAlignment="1">
      <alignment horizontal="center" vertical="top" wrapText="1"/>
    </xf>
    <xf numFmtId="0" fontId="9" fillId="0" borderId="0" xfId="2" applyFont="1" applyFill="1" applyAlignment="1">
      <alignment horizontal="right" vertical="top" wrapText="1"/>
    </xf>
    <xf numFmtId="0" fontId="6" fillId="3" borderId="1" xfId="2" applyFont="1" applyFill="1" applyBorder="1" applyAlignment="1">
      <alignment horizontal="center" vertical="top" wrapText="1"/>
    </xf>
    <xf numFmtId="0" fontId="6" fillId="0" borderId="0" xfId="2" applyFont="1" applyFill="1" applyAlignment="1">
      <alignment horizontal="center"/>
    </xf>
    <xf numFmtId="3" fontId="6" fillId="0" borderId="1" xfId="2" applyNumberFormat="1" applyFont="1" applyFill="1" applyBorder="1" applyAlignment="1">
      <alignment horizontal="center" vertical="center" wrapText="1"/>
    </xf>
    <xf numFmtId="0" fontId="6" fillId="3" borderId="1" xfId="2" applyFont="1" applyFill="1" applyBorder="1" applyAlignment="1">
      <alignment horizontal="center" vertical="top" wrapText="1"/>
    </xf>
    <xf numFmtId="0" fontId="22" fillId="2" borderId="0" xfId="2" applyFont="1" applyFill="1" applyAlignment="1">
      <alignment horizontal="center" vertical="top" wrapText="1"/>
    </xf>
    <xf numFmtId="0" fontId="22" fillId="0" borderId="0" xfId="2" applyFont="1" applyFill="1" applyAlignment="1">
      <alignment horizontal="center" vertical="top" wrapText="1"/>
    </xf>
    <xf numFmtId="0" fontId="21" fillId="0" borderId="1" xfId="2" applyFont="1" applyFill="1" applyBorder="1" applyAlignment="1">
      <alignment horizontal="left" vertical="top" wrapText="1"/>
    </xf>
    <xf numFmtId="4" fontId="5" fillId="0" borderId="0" xfId="2" applyNumberFormat="1" applyFill="1">
      <alignment horizontal="justify" vertical="top" wrapText="1"/>
    </xf>
    <xf numFmtId="2" fontId="10" fillId="0" borderId="1" xfId="2" applyNumberFormat="1" applyFont="1" applyFill="1" applyBorder="1" applyAlignment="1">
      <alignment horizontal="center" vertical="center" wrapText="1"/>
    </xf>
    <xf numFmtId="0" fontId="29" fillId="0" borderId="0" xfId="2" applyFont="1" applyFill="1" applyAlignment="1">
      <alignment horizontal="right"/>
    </xf>
    <xf numFmtId="0" fontId="21" fillId="3" borderId="1" xfId="2" applyFont="1" applyFill="1" applyBorder="1" applyAlignment="1">
      <alignment horizontal="center" vertical="top" wrapText="1"/>
    </xf>
    <xf numFmtId="4" fontId="24" fillId="0" borderId="0" xfId="2" applyNumberFormat="1" applyFont="1" applyFill="1" applyBorder="1" applyAlignment="1">
      <alignment horizontal="center" vertical="center" wrapText="1"/>
    </xf>
    <xf numFmtId="0" fontId="7" fillId="0" borderId="0" xfId="2" applyFont="1" applyFill="1" applyAlignment="1">
      <alignment horizontal="right" vertical="top"/>
    </xf>
    <xf numFmtId="0" fontId="6" fillId="0" borderId="0" xfId="2" applyFont="1" applyFill="1" applyAlignment="1">
      <alignment horizontal="left" indent="8"/>
    </xf>
    <xf numFmtId="3" fontId="5" fillId="0" borderId="0" xfId="2" applyNumberFormat="1" applyFill="1">
      <alignment horizontal="justify" vertical="top" wrapText="1"/>
    </xf>
    <xf numFmtId="3" fontId="11" fillId="0" borderId="0" xfId="2" applyNumberFormat="1" applyFont="1" applyFill="1" applyBorder="1" applyAlignment="1">
      <alignment horizontal="center" vertical="center" wrapText="1"/>
    </xf>
    <xf numFmtId="0" fontId="5" fillId="0" borderId="0" xfId="2" applyFill="1" applyAlignment="1">
      <alignment horizontal="center" vertical="top" wrapText="1"/>
    </xf>
    <xf numFmtId="4" fontId="11" fillId="0" borderId="0" xfId="2" applyNumberFormat="1" applyFont="1" applyFill="1" applyBorder="1" applyAlignment="1">
      <alignment horizontal="center" vertical="top"/>
    </xf>
    <xf numFmtId="4" fontId="24" fillId="0" borderId="0" xfId="2" applyNumberFormat="1" applyFont="1" applyFill="1" applyBorder="1" applyAlignment="1">
      <alignment horizontal="center" vertical="center" wrapText="1"/>
    </xf>
    <xf numFmtId="4" fontId="16" fillId="0" borderId="5" xfId="2" applyNumberFormat="1" applyFont="1" applyFill="1" applyBorder="1" applyAlignment="1">
      <alignment horizontal="center" vertical="center" wrapText="1"/>
    </xf>
    <xf numFmtId="0" fontId="6" fillId="0" borderId="2" xfId="2" applyFont="1" applyFill="1" applyBorder="1" applyAlignment="1">
      <alignment horizontal="left" vertical="top" wrapText="1"/>
    </xf>
    <xf numFmtId="0" fontId="6" fillId="0" borderId="3" xfId="2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vertical="top" wrapText="1"/>
    </xf>
    <xf numFmtId="4" fontId="16" fillId="0" borderId="0" xfId="2" applyNumberFormat="1" applyFont="1" applyFill="1" applyBorder="1" applyAlignment="1">
      <alignment horizontal="center" vertical="center" wrapText="1"/>
    </xf>
    <xf numFmtId="49" fontId="6" fillId="2" borderId="0" xfId="2" applyNumberFormat="1" applyFont="1" applyFill="1">
      <alignment horizontal="justify" vertical="top" wrapText="1"/>
    </xf>
    <xf numFmtId="4" fontId="11" fillId="0" borderId="0" xfId="2" applyNumberFormat="1" applyFont="1" applyFill="1" applyAlignment="1">
      <alignment horizontal="right"/>
    </xf>
    <xf numFmtId="49" fontId="6" fillId="0" borderId="0" xfId="2" applyNumberFormat="1" applyFont="1" applyFill="1">
      <alignment horizontal="justify" vertical="top" wrapText="1"/>
    </xf>
    <xf numFmtId="0" fontId="6" fillId="0" borderId="0" xfId="2" applyFont="1" applyFill="1" applyAlignment="1">
      <alignment horizontal="center" vertical="top" wrapText="1"/>
    </xf>
    <xf numFmtId="4" fontId="11" fillId="0" borderId="0" xfId="2" applyNumberFormat="1" applyFont="1" applyFill="1">
      <alignment horizontal="justify" vertical="top" wrapText="1"/>
    </xf>
    <xf numFmtId="49" fontId="6" fillId="0" borderId="0" xfId="2" applyNumberFormat="1" applyFont="1" applyFill="1" applyAlignment="1">
      <alignment horizontal="center"/>
    </xf>
    <xf numFmtId="0" fontId="11" fillId="0" borderId="0" xfId="2" applyFont="1" applyFill="1" applyAlignment="1">
      <alignment horizontal="center"/>
    </xf>
    <xf numFmtId="1" fontId="11" fillId="0" borderId="0" xfId="2" applyNumberFormat="1" applyFont="1" applyFill="1" applyAlignment="1">
      <alignment horizontal="center"/>
    </xf>
    <xf numFmtId="164" fontId="11" fillId="0" borderId="0" xfId="2" applyNumberFormat="1" applyFont="1" applyFill="1" applyAlignment="1">
      <alignment horizontal="center"/>
    </xf>
    <xf numFmtId="164" fontId="11" fillId="0" borderId="0" xfId="2" applyNumberFormat="1" applyFont="1" applyFill="1" applyAlignment="1">
      <alignment horizontal="center" vertical="center" wrapText="1"/>
    </xf>
    <xf numFmtId="0" fontId="1" fillId="0" borderId="0" xfId="0" applyFont="1" applyFill="1"/>
    <xf numFmtId="0" fontId="6" fillId="4" borderId="0" xfId="2" applyFont="1" applyFill="1" applyAlignment="1">
      <alignment horizontal="center"/>
    </xf>
    <xf numFmtId="1" fontId="6" fillId="4" borderId="0" xfId="2" applyNumberFormat="1" applyFont="1" applyFill="1" applyAlignment="1">
      <alignment horizontal="center"/>
    </xf>
    <xf numFmtId="0" fontId="6" fillId="4" borderId="0" xfId="2" applyFont="1" applyFill="1" applyAlignment="1">
      <alignment horizontal="center" vertical="top" wrapText="1"/>
    </xf>
    <xf numFmtId="0" fontId="6" fillId="0" borderId="0" xfId="2" applyFont="1" applyFill="1" applyAlignment="1">
      <alignment horizontal="center" vertical="center" wrapText="1"/>
    </xf>
    <xf numFmtId="4" fontId="16" fillId="2" borderId="0" xfId="2" applyNumberFormat="1" applyFont="1" applyFill="1" applyBorder="1" applyAlignment="1">
      <alignment horizontal="center" vertical="center" wrapText="1"/>
    </xf>
    <xf numFmtId="4" fontId="10" fillId="0" borderId="1" xfId="2" applyNumberFormat="1" applyFont="1" applyFill="1" applyBorder="1" applyAlignment="1">
      <alignment horizontal="center" vertical="top" wrapText="1"/>
    </xf>
    <xf numFmtId="0" fontId="6" fillId="0" borderId="0" xfId="2" applyFont="1" applyFill="1" applyAlignment="1">
      <alignment horizontal="right"/>
    </xf>
    <xf numFmtId="4" fontId="11" fillId="0" borderId="0" xfId="2" applyNumberFormat="1" applyFont="1" applyFill="1" applyAlignment="1">
      <alignment horizontal="center"/>
    </xf>
    <xf numFmtId="49" fontId="3" fillId="0" borderId="0" xfId="2" applyNumberFormat="1" applyFont="1" applyFill="1" applyAlignment="1">
      <alignment horizontal="center"/>
    </xf>
    <xf numFmtId="4" fontId="6" fillId="4" borderId="1" xfId="2" applyNumberFormat="1" applyFont="1" applyFill="1" applyBorder="1" applyAlignment="1">
      <alignment horizontal="center" vertical="top" wrapText="1"/>
    </xf>
    <xf numFmtId="0" fontId="6" fillId="3" borderId="1" xfId="2" applyFont="1" applyFill="1" applyBorder="1" applyAlignment="1">
      <alignment horizontal="center" vertical="top" wrapText="1"/>
    </xf>
    <xf numFmtId="0" fontId="6" fillId="0" borderId="1" xfId="2" applyFont="1" applyFill="1" applyBorder="1" applyAlignment="1">
      <alignment horizontal="left" vertical="top" wrapText="1"/>
    </xf>
    <xf numFmtId="0" fontId="6" fillId="3" borderId="1" xfId="2" applyFont="1" applyFill="1" applyBorder="1" applyAlignment="1">
      <alignment horizontal="center" vertical="top" wrapText="1"/>
    </xf>
    <xf numFmtId="0" fontId="6" fillId="0" borderId="1" xfId="2" applyFont="1" applyFill="1" applyBorder="1" applyAlignment="1">
      <alignment horizontal="left" vertical="top" wrapText="1"/>
    </xf>
    <xf numFmtId="0" fontId="26" fillId="0" borderId="0" xfId="2" quotePrefix="1" applyFont="1" applyFill="1" applyAlignment="1">
      <alignment horizontal="center" vertical="top" wrapText="1"/>
    </xf>
    <xf numFmtId="0" fontId="26" fillId="0" borderId="0" xfId="2" applyFont="1" applyFill="1" applyAlignment="1">
      <alignment horizontal="center" vertical="top" wrapText="1"/>
    </xf>
    <xf numFmtId="0" fontId="6" fillId="0" borderId="0" xfId="2" applyFont="1" applyFill="1" applyAlignment="1">
      <alignment horizontal="right" vertical="top" wrapText="1"/>
    </xf>
    <xf numFmtId="0" fontId="4" fillId="0" borderId="0" xfId="1" applyFont="1" applyFill="1" applyAlignment="1">
      <alignment horizontal="right" vertical="top" wrapText="1"/>
    </xf>
    <xf numFmtId="0" fontId="9" fillId="0" borderId="0" xfId="2" applyFont="1" applyFill="1" applyBorder="1" applyAlignment="1">
      <alignment horizontal="right" vertical="top" wrapText="1"/>
    </xf>
    <xf numFmtId="0" fontId="6" fillId="3" borderId="1" xfId="2" applyFont="1" applyFill="1" applyBorder="1" applyAlignment="1">
      <alignment horizontal="center" vertical="top" wrapText="1"/>
    </xf>
    <xf numFmtId="0" fontId="6" fillId="3" borderId="2" xfId="2" applyFont="1" applyFill="1" applyBorder="1" applyAlignment="1">
      <alignment horizontal="center" vertical="top" wrapText="1"/>
    </xf>
    <xf numFmtId="0" fontId="6" fillId="3" borderId="3" xfId="2" applyFont="1" applyFill="1" applyBorder="1" applyAlignment="1">
      <alignment horizontal="center" vertical="top" wrapText="1"/>
    </xf>
    <xf numFmtId="0" fontId="6" fillId="3" borderId="4" xfId="2" applyFont="1" applyFill="1" applyBorder="1" applyAlignment="1">
      <alignment horizontal="center" vertical="top" wrapText="1"/>
    </xf>
    <xf numFmtId="0" fontId="6" fillId="3" borderId="5" xfId="2" applyFont="1" applyFill="1" applyBorder="1" applyAlignment="1">
      <alignment horizontal="center" vertical="top" wrapText="1"/>
    </xf>
    <xf numFmtId="0" fontId="6" fillId="0" borderId="4" xfId="2" applyFont="1" applyFill="1" applyBorder="1" applyAlignment="1">
      <alignment horizontal="left" vertical="top" wrapText="1"/>
    </xf>
    <xf numFmtId="0" fontId="6" fillId="0" borderId="6" xfId="2" applyFont="1" applyFill="1" applyBorder="1" applyAlignment="1">
      <alignment horizontal="left" vertical="top" wrapText="1"/>
    </xf>
    <xf numFmtId="0" fontId="6" fillId="0" borderId="5" xfId="2" applyFont="1" applyFill="1" applyBorder="1" applyAlignment="1">
      <alignment horizontal="left" vertical="top" wrapText="1"/>
    </xf>
    <xf numFmtId="4" fontId="6" fillId="0" borderId="4" xfId="2" applyNumberFormat="1" applyFont="1" applyFill="1" applyBorder="1" applyAlignment="1">
      <alignment horizontal="left" vertical="top" wrapText="1"/>
    </xf>
    <xf numFmtId="4" fontId="6" fillId="0" borderId="6" xfId="2" applyNumberFormat="1" applyFont="1" applyFill="1" applyBorder="1" applyAlignment="1">
      <alignment horizontal="left" vertical="top" wrapText="1"/>
    </xf>
    <xf numFmtId="4" fontId="6" fillId="0" borderId="5" xfId="2" applyNumberFormat="1" applyFont="1" applyFill="1" applyBorder="1" applyAlignment="1">
      <alignment horizontal="left" vertical="top" wrapText="1"/>
    </xf>
    <xf numFmtId="3" fontId="6" fillId="0" borderId="4" xfId="2" applyNumberFormat="1" applyFont="1" applyFill="1" applyBorder="1" applyAlignment="1">
      <alignment horizontal="left" vertical="top" wrapText="1"/>
    </xf>
    <xf numFmtId="3" fontId="6" fillId="0" borderId="6" xfId="2" applyNumberFormat="1" applyFont="1" applyFill="1" applyBorder="1" applyAlignment="1">
      <alignment horizontal="left" vertical="top" wrapText="1"/>
    </xf>
    <xf numFmtId="3" fontId="6" fillId="0" borderId="5" xfId="2" applyNumberFormat="1" applyFont="1" applyFill="1" applyBorder="1" applyAlignment="1">
      <alignment horizontal="left" vertical="top" wrapText="1"/>
    </xf>
    <xf numFmtId="0" fontId="7" fillId="0" borderId="0" xfId="2" applyFont="1" applyFill="1" applyBorder="1" applyAlignment="1">
      <alignment horizontal="right" vertical="top" wrapText="1"/>
    </xf>
    <xf numFmtId="0" fontId="9" fillId="0" borderId="0" xfId="2" applyFont="1" applyFill="1" applyAlignment="1">
      <alignment horizontal="right" vertical="top" wrapText="1"/>
    </xf>
    <xf numFmtId="0" fontId="27" fillId="0" borderId="0" xfId="2" applyFont="1" applyFill="1" applyAlignment="1">
      <alignment horizontal="center" vertical="top" wrapText="1"/>
    </xf>
    <xf numFmtId="0" fontId="26" fillId="0" borderId="0" xfId="2" applyFont="1" applyFill="1" applyAlignment="1">
      <alignment horizontal="center" vertical="center" wrapText="1"/>
    </xf>
    <xf numFmtId="0" fontId="20" fillId="0" borderId="0" xfId="2" applyFont="1" applyFill="1" applyAlignment="1">
      <alignment horizontal="right" vertical="top"/>
    </xf>
    <xf numFmtId="0" fontId="21" fillId="3" borderId="1" xfId="2" applyFont="1" applyFill="1" applyBorder="1" applyAlignment="1">
      <alignment horizontal="center" vertical="top" wrapText="1"/>
    </xf>
    <xf numFmtId="4" fontId="24" fillId="0" borderId="0" xfId="2" applyNumberFormat="1" applyFont="1" applyFill="1" applyBorder="1" applyAlignment="1">
      <alignment horizontal="center" vertical="center" wrapText="1"/>
    </xf>
    <xf numFmtId="0" fontId="7" fillId="0" borderId="0" xfId="2" applyFont="1" applyFill="1" applyAlignment="1">
      <alignment horizontal="right" vertical="top"/>
    </xf>
    <xf numFmtId="4" fontId="6" fillId="0" borderId="1" xfId="2" applyNumberFormat="1" applyFont="1" applyFill="1" applyBorder="1" applyAlignment="1">
      <alignment horizontal="center" vertical="center" wrapText="1"/>
    </xf>
    <xf numFmtId="0" fontId="6" fillId="0" borderId="0" xfId="2" applyFont="1" applyFill="1" applyAlignment="1">
      <alignment horizontal="left" vertical="top" wrapText="1"/>
    </xf>
    <xf numFmtId="0" fontId="1" fillId="0" borderId="0" xfId="0" applyFont="1" applyFill="1" applyAlignment="1">
      <alignment horizontal="left" vertical="top" wrapText="1"/>
    </xf>
    <xf numFmtId="4" fontId="11" fillId="0" borderId="1" xfId="2" applyNumberFormat="1" applyFont="1" applyFill="1" applyBorder="1" applyAlignment="1">
      <alignment horizontal="center" vertical="center" wrapText="1"/>
    </xf>
    <xf numFmtId="0" fontId="6" fillId="0" borderId="1" xfId="2" applyFont="1" applyFill="1" applyBorder="1" applyAlignment="1">
      <alignment horizontal="left" vertical="top" wrapText="1"/>
    </xf>
    <xf numFmtId="4" fontId="10" fillId="0" borderId="1" xfId="2" applyNumberFormat="1" applyFont="1" applyFill="1" applyBorder="1" applyAlignment="1">
      <alignment horizontal="center" vertical="top" wrapText="1"/>
    </xf>
    <xf numFmtId="0" fontId="6" fillId="0" borderId="1" xfId="2" applyFont="1" applyFill="1" applyBorder="1" applyAlignment="1">
      <alignment horizontal="center" vertical="top" wrapText="1"/>
    </xf>
    <xf numFmtId="3" fontId="6" fillId="0" borderId="1" xfId="2" applyNumberFormat="1" applyFont="1" applyFill="1" applyBorder="1" applyAlignment="1">
      <alignment horizontal="left" vertical="top" wrapText="1"/>
    </xf>
    <xf numFmtId="0" fontId="6" fillId="0" borderId="0" xfId="2" applyFont="1" applyFill="1" applyAlignment="1">
      <alignment horizontal="right"/>
    </xf>
    <xf numFmtId="0" fontId="6" fillId="0" borderId="0" xfId="2" applyFont="1" applyFill="1" applyAlignment="1">
      <alignment horizontal="justify"/>
    </xf>
    <xf numFmtId="0" fontId="6" fillId="0" borderId="0" xfId="2" applyFont="1" applyFill="1" applyAlignment="1">
      <alignment horizontal="justify" vertical="top" wrapText="1"/>
    </xf>
    <xf numFmtId="0" fontId="5" fillId="0" borderId="0" xfId="2" applyFill="1" applyAlignment="1">
      <alignment horizontal="justify" vertical="top" wrapText="1"/>
    </xf>
    <xf numFmtId="0" fontId="1" fillId="0" borderId="0" xfId="0" applyFont="1" applyAlignment="1">
      <alignment horizontal="left" vertical="top" wrapText="1"/>
    </xf>
    <xf numFmtId="4" fontId="16" fillId="0" borderId="0" xfId="2" applyNumberFormat="1" applyFont="1" applyFill="1" applyBorder="1" applyAlignment="1">
      <alignment horizontal="center" vertical="center" wrapText="1"/>
    </xf>
    <xf numFmtId="0" fontId="1" fillId="0" borderId="0" xfId="0" applyFont="1"/>
    <xf numFmtId="0" fontId="5" fillId="3" borderId="1" xfId="2" applyFill="1" applyBorder="1" applyAlignment="1">
      <alignment horizontal="center" vertical="top" wrapText="1"/>
    </xf>
    <xf numFmtId="0" fontId="5" fillId="0" borderId="0" xfId="2" applyFill="1" applyAlignment="1">
      <alignment horizontal="left" vertical="top" wrapText="1"/>
    </xf>
    <xf numFmtId="0" fontId="31" fillId="0" borderId="0" xfId="2" applyFont="1" applyFill="1" applyAlignment="1">
      <alignment horizontal="right" vertical="top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9" defaultPivotStyle="PivotStyleLight16"/>
  <colors>
    <mruColors>
      <color rgb="FFCCFFFF"/>
      <color rgb="FFFFFFCC"/>
      <color rgb="FF0000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microsoft.com/office/2006/relationships/vbaProject" Target="vbaProject.bin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766184</xdr:colOff>
      <xdr:row>5</xdr:row>
      <xdr:rowOff>435552</xdr:rowOff>
    </xdr:from>
    <xdr:to>
      <xdr:col>6</xdr:col>
      <xdr:colOff>842384</xdr:colOff>
      <xdr:row>5</xdr:row>
      <xdr:rowOff>435552</xdr:rowOff>
    </xdr:to>
    <xdr:sp macro="" textlink="">
      <xdr:nvSpPr>
        <xdr:cNvPr id="15438" name="Line 1"/>
        <xdr:cNvSpPr>
          <a:spLocks noChangeShapeType="1"/>
        </xdr:cNvSpPr>
      </xdr:nvSpPr>
      <xdr:spPr bwMode="auto">
        <a:xfrm>
          <a:off x="5208298" y="1474643"/>
          <a:ext cx="76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409575</xdr:colOff>
      <xdr:row>11</xdr:row>
      <xdr:rowOff>123825</xdr:rowOff>
    </xdr:from>
    <xdr:to>
      <xdr:col>2</xdr:col>
      <xdr:colOff>504825</xdr:colOff>
      <xdr:row>14</xdr:row>
      <xdr:rowOff>76200</xdr:rowOff>
    </xdr:to>
    <xdr:sp macro="" textlink="">
      <xdr:nvSpPr>
        <xdr:cNvPr id="16614" name="AutoShape 1"/>
        <xdr:cNvSpPr>
          <a:spLocks/>
        </xdr:cNvSpPr>
      </xdr:nvSpPr>
      <xdr:spPr bwMode="auto">
        <a:xfrm>
          <a:off x="409575" y="2838450"/>
          <a:ext cx="95250" cy="628650"/>
        </a:xfrm>
        <a:prstGeom prst="leftBrace">
          <a:avLst>
            <a:gd name="adj1" fmla="val 55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200025</xdr:colOff>
      <xdr:row>11</xdr:row>
      <xdr:rowOff>123825</xdr:rowOff>
    </xdr:from>
    <xdr:to>
      <xdr:col>4</xdr:col>
      <xdr:colOff>276225</xdr:colOff>
      <xdr:row>14</xdr:row>
      <xdr:rowOff>104775</xdr:rowOff>
    </xdr:to>
    <xdr:sp macro="" textlink="">
      <xdr:nvSpPr>
        <xdr:cNvPr id="16615" name="AutoShape 2"/>
        <xdr:cNvSpPr>
          <a:spLocks/>
        </xdr:cNvSpPr>
      </xdr:nvSpPr>
      <xdr:spPr bwMode="auto">
        <a:xfrm>
          <a:off x="1590675" y="2838450"/>
          <a:ext cx="76200" cy="657225"/>
        </a:xfrm>
        <a:prstGeom prst="leftBrace">
          <a:avLst>
            <a:gd name="adj1" fmla="val 7187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581025</xdr:colOff>
      <xdr:row>17</xdr:row>
      <xdr:rowOff>95250</xdr:rowOff>
    </xdr:from>
    <xdr:to>
      <xdr:col>3</xdr:col>
      <xdr:colOff>0</xdr:colOff>
      <xdr:row>20</xdr:row>
      <xdr:rowOff>104775</xdr:rowOff>
    </xdr:to>
    <xdr:sp macro="" textlink="">
      <xdr:nvSpPr>
        <xdr:cNvPr id="16616" name="AutoShape 3"/>
        <xdr:cNvSpPr>
          <a:spLocks/>
        </xdr:cNvSpPr>
      </xdr:nvSpPr>
      <xdr:spPr bwMode="auto">
        <a:xfrm>
          <a:off x="581025" y="4086225"/>
          <a:ext cx="114300" cy="609600"/>
        </a:xfrm>
        <a:prstGeom prst="leftBrace">
          <a:avLst>
            <a:gd name="adj1" fmla="val 4444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7.bin"/><Relationship Id="rId4" Type="http://schemas.openxmlformats.org/officeDocument/2006/relationships/comments" Target="../comments13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4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8.bin"/><Relationship Id="rId4" Type="http://schemas.openxmlformats.org/officeDocument/2006/relationships/comments" Target="../comments14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5.xml"/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P21"/>
  <sheetViews>
    <sheetView showGridLines="0" tabSelected="1" workbookViewId="0"/>
  </sheetViews>
  <sheetFormatPr defaultRowHeight="12.75"/>
  <cols>
    <col min="1" max="2" width="0.85546875" style="7" customWidth="1"/>
    <col min="3" max="3" width="25.85546875" style="7" customWidth="1"/>
    <col min="4" max="4" width="40.7109375" style="7" customWidth="1"/>
    <col min="5" max="6" width="12.7109375" style="7" customWidth="1"/>
    <col min="7" max="7" width="0.85546875" style="7" customWidth="1"/>
    <col min="8" max="16384" width="9.140625" style="7"/>
  </cols>
  <sheetData>
    <row r="1" spans="1:16" ht="6" customHeight="1">
      <c r="A1" s="6"/>
    </row>
    <row r="2" spans="1:16" ht="6" customHeight="1">
      <c r="B2" s="9"/>
      <c r="C2" s="9"/>
      <c r="D2" s="9"/>
      <c r="E2" s="9"/>
      <c r="F2" s="9"/>
      <c r="G2" s="9"/>
    </row>
    <row r="3" spans="1:16" ht="12.75" customHeight="1">
      <c r="B3" s="9"/>
      <c r="C3" s="109" t="s">
        <v>285</v>
      </c>
      <c r="D3" s="109"/>
      <c r="E3" s="109"/>
      <c r="F3" s="109"/>
      <c r="G3" s="1"/>
      <c r="H3" s="8"/>
      <c r="I3" s="8"/>
      <c r="J3" s="8"/>
      <c r="K3" s="8"/>
      <c r="L3" s="8"/>
      <c r="M3" s="8"/>
      <c r="N3" s="8"/>
      <c r="O3" s="8"/>
      <c r="P3" s="8"/>
    </row>
    <row r="4" spans="1:16" ht="15.75">
      <c r="B4" s="9"/>
      <c r="C4" s="4"/>
      <c r="D4" s="10"/>
      <c r="E4" s="10"/>
      <c r="F4" s="11" t="s">
        <v>0</v>
      </c>
      <c r="G4" s="9"/>
    </row>
    <row r="5" spans="1:16" ht="18.75">
      <c r="B5" s="9"/>
      <c r="C5" s="106" t="s">
        <v>1</v>
      </c>
      <c r="D5" s="107"/>
      <c r="E5" s="107"/>
      <c r="F5" s="107"/>
      <c r="G5" s="9"/>
    </row>
    <row r="6" spans="1:16" ht="15.75">
      <c r="B6" s="9"/>
      <c r="C6" s="4"/>
      <c r="D6" s="43"/>
      <c r="E6" s="150" t="s">
        <v>313</v>
      </c>
      <c r="F6" s="108"/>
      <c r="G6" s="9"/>
    </row>
    <row r="7" spans="1:16" ht="81" customHeight="1">
      <c r="B7" s="9"/>
      <c r="C7" s="13" t="s">
        <v>2</v>
      </c>
      <c r="D7" s="102" t="s">
        <v>286</v>
      </c>
      <c r="E7" s="13" t="s">
        <v>3</v>
      </c>
      <c r="F7" s="13" t="s">
        <v>21</v>
      </c>
      <c r="G7" s="9"/>
    </row>
    <row r="8" spans="1:16" ht="15.75">
      <c r="B8" s="9"/>
      <c r="C8" s="12" t="s">
        <v>216</v>
      </c>
      <c r="D8" s="18" t="s">
        <v>217</v>
      </c>
      <c r="E8" s="19">
        <v>404</v>
      </c>
      <c r="F8" s="19">
        <v>458</v>
      </c>
      <c r="G8" s="9"/>
    </row>
    <row r="9" spans="1:16" ht="76.5" customHeight="1">
      <c r="B9" s="9"/>
      <c r="C9" s="15" t="s">
        <v>287</v>
      </c>
      <c r="D9" s="12" t="s">
        <v>218</v>
      </c>
      <c r="E9" s="19">
        <v>273</v>
      </c>
      <c r="F9" s="19">
        <v>309</v>
      </c>
      <c r="G9" s="9"/>
    </row>
    <row r="10" spans="1:16" ht="47.25">
      <c r="B10" s="9"/>
      <c r="C10" s="12" t="s">
        <v>5</v>
      </c>
      <c r="D10" s="12" t="s">
        <v>6</v>
      </c>
      <c r="E10" s="19">
        <v>131</v>
      </c>
      <c r="F10" s="19">
        <v>149</v>
      </c>
      <c r="G10" s="9"/>
    </row>
    <row r="11" spans="1:16" ht="62.25" customHeight="1">
      <c r="B11" s="9"/>
      <c r="C11" s="15" t="s">
        <v>288</v>
      </c>
      <c r="D11" s="15" t="s">
        <v>219</v>
      </c>
      <c r="E11" s="19">
        <v>127</v>
      </c>
      <c r="F11" s="19">
        <v>130</v>
      </c>
      <c r="G11" s="9"/>
    </row>
    <row r="12" spans="1:16" ht="31.5">
      <c r="B12" s="9"/>
      <c r="C12" s="12" t="s">
        <v>220</v>
      </c>
      <c r="D12" s="15" t="s">
        <v>221</v>
      </c>
      <c r="E12" s="16">
        <f>'Таблица 7'!D9</f>
        <v>4.2023999999999972</v>
      </c>
      <c r="F12" s="16">
        <f>'Таблица 7'!F9</f>
        <v>19.022199999999984</v>
      </c>
      <c r="G12" s="9"/>
    </row>
    <row r="13" spans="1:16" ht="31.5">
      <c r="B13" s="9"/>
      <c r="C13" s="12" t="s">
        <v>8</v>
      </c>
      <c r="D13" s="103" t="s">
        <v>289</v>
      </c>
      <c r="E13" s="19">
        <v>42</v>
      </c>
      <c r="F13" s="19">
        <v>43</v>
      </c>
      <c r="G13" s="9"/>
    </row>
    <row r="14" spans="1:16" ht="31.5">
      <c r="B14" s="9"/>
      <c r="C14" s="12" t="s">
        <v>9</v>
      </c>
      <c r="D14" s="12" t="s">
        <v>222</v>
      </c>
      <c r="E14" s="17">
        <f>E8/E13</f>
        <v>9.6190476190476186</v>
      </c>
      <c r="F14" s="17">
        <f>F8/F13</f>
        <v>10.651162790697674</v>
      </c>
      <c r="G14" s="9"/>
    </row>
    <row r="15" spans="1:16" ht="31.5">
      <c r="B15" s="9"/>
      <c r="C15" s="12" t="s">
        <v>10</v>
      </c>
      <c r="D15" s="14" t="s">
        <v>223</v>
      </c>
      <c r="E15" s="20">
        <v>8.5</v>
      </c>
      <c r="F15" s="20">
        <v>8.5299999999999994</v>
      </c>
      <c r="G15" s="9"/>
    </row>
    <row r="16" spans="1:16" ht="34.5" customHeight="1">
      <c r="B16" s="9"/>
      <c r="C16" s="12" t="s">
        <v>11</v>
      </c>
      <c r="D16" s="12" t="s">
        <v>224</v>
      </c>
      <c r="E16" s="17">
        <f>E8/E15</f>
        <v>47.529411764705884</v>
      </c>
      <c r="F16" s="17">
        <f>F8/F15</f>
        <v>53.692848769050414</v>
      </c>
      <c r="G16" s="9"/>
    </row>
    <row r="17" spans="2:7" ht="33" customHeight="1">
      <c r="B17" s="9"/>
      <c r="C17" s="12" t="s">
        <v>12</v>
      </c>
      <c r="D17" s="14" t="s">
        <v>225</v>
      </c>
      <c r="E17" s="20">
        <v>17.5</v>
      </c>
      <c r="F17" s="20">
        <v>24.5</v>
      </c>
      <c r="G17" s="9"/>
    </row>
    <row r="18" spans="2:7" ht="78.75">
      <c r="B18" s="9"/>
      <c r="C18" s="12" t="s">
        <v>13</v>
      </c>
      <c r="D18" s="12" t="s">
        <v>226</v>
      </c>
      <c r="E18" s="17">
        <f>E8/E17</f>
        <v>23.085714285714285</v>
      </c>
      <c r="F18" s="17">
        <f>F8/F17</f>
        <v>18.693877551020407</v>
      </c>
      <c r="G18" s="9"/>
    </row>
    <row r="19" spans="2:7" ht="47.25">
      <c r="B19" s="9"/>
      <c r="C19" s="12" t="s">
        <v>14</v>
      </c>
      <c r="D19" s="12" t="s">
        <v>227</v>
      </c>
      <c r="E19" s="20">
        <v>102.8</v>
      </c>
      <c r="F19" s="20">
        <v>105.2</v>
      </c>
      <c r="G19" s="9"/>
    </row>
    <row r="20" spans="2:7" ht="62.25" customHeight="1">
      <c r="B20" s="9"/>
      <c r="C20" s="12" t="s">
        <v>15</v>
      </c>
      <c r="D20" s="12" t="s">
        <v>228</v>
      </c>
      <c r="E20" s="20">
        <v>5.94</v>
      </c>
      <c r="F20" s="20">
        <v>5.41</v>
      </c>
      <c r="G20" s="9"/>
    </row>
    <row r="21" spans="2:7" ht="6.75" customHeight="1">
      <c r="B21" s="9"/>
      <c r="C21" s="9"/>
      <c r="D21" s="9"/>
      <c r="E21" s="9"/>
      <c r="F21" s="9"/>
      <c r="G21" s="9"/>
    </row>
  </sheetData>
  <mergeCells count="3">
    <mergeCell ref="C5:F5"/>
    <mergeCell ref="E6:F6"/>
    <mergeCell ref="C3:F3"/>
  </mergeCells>
  <phoneticPr fontId="2" type="noConversion"/>
  <pageMargins left="0.39370078740157483" right="0.39370078740157483" top="0.39370078740157483" bottom="0.39370078740157483" header="0.35433070866141736" footer="0.35433070866141736"/>
  <pageSetup paperSize="9" orientation="portrait" blackAndWhite="1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 codeName="Лист10"/>
  <dimension ref="B1:H12"/>
  <sheetViews>
    <sheetView showGridLines="0" workbookViewId="0">
      <pane ySplit="7" topLeftCell="A8" activePane="bottomLeft" state="frozen"/>
      <selection pane="bottomLeft"/>
    </sheetView>
  </sheetViews>
  <sheetFormatPr defaultRowHeight="12.75"/>
  <cols>
    <col min="1" max="2" width="0.85546875" style="7" customWidth="1"/>
    <col min="3" max="3" width="25.42578125" style="7" customWidth="1"/>
    <col min="4" max="4" width="23.7109375" style="7" customWidth="1"/>
    <col min="5" max="5" width="9.5703125" style="7" customWidth="1"/>
    <col min="6" max="6" width="23.28515625" style="7" customWidth="1"/>
    <col min="7" max="7" width="10.28515625" style="7" customWidth="1"/>
    <col min="8" max="8" width="0.85546875" style="7" customWidth="1"/>
    <col min="9" max="16384" width="9.140625" style="7"/>
  </cols>
  <sheetData>
    <row r="1" spans="2:8" ht="6" customHeight="1"/>
    <row r="2" spans="2:8" ht="6" customHeight="1">
      <c r="B2" s="9"/>
      <c r="C2" s="9"/>
      <c r="D2" s="9"/>
      <c r="E2" s="9"/>
      <c r="F2" s="9"/>
      <c r="G2" s="9"/>
      <c r="H2" s="9"/>
    </row>
    <row r="3" spans="2:8" ht="15.75">
      <c r="B3" s="9"/>
      <c r="C3" s="10"/>
      <c r="D3" s="10"/>
      <c r="E3" s="10"/>
      <c r="F3" s="10"/>
      <c r="G3" s="26" t="s">
        <v>108</v>
      </c>
      <c r="H3" s="9"/>
    </row>
    <row r="4" spans="2:8" ht="57" customHeight="1">
      <c r="B4" s="9"/>
      <c r="C4" s="107" t="s">
        <v>113</v>
      </c>
      <c r="D4" s="107"/>
      <c r="E4" s="107"/>
      <c r="F4" s="107"/>
      <c r="G4" s="107"/>
      <c r="H4" s="9"/>
    </row>
    <row r="5" spans="2:8" ht="15.75">
      <c r="B5" s="9"/>
      <c r="C5" s="10"/>
      <c r="D5" s="10"/>
      <c r="E5" s="10"/>
      <c r="F5" s="10"/>
      <c r="G5" s="31" t="s">
        <v>18</v>
      </c>
      <c r="H5" s="9"/>
    </row>
    <row r="6" spans="2:8" ht="31.5" customHeight="1">
      <c r="B6" s="9"/>
      <c r="C6" s="112" t="s">
        <v>114</v>
      </c>
      <c r="D6" s="114" t="s">
        <v>115</v>
      </c>
      <c r="E6" s="115"/>
      <c r="F6" s="114" t="s">
        <v>116</v>
      </c>
      <c r="G6" s="115"/>
      <c r="H6" s="9"/>
    </row>
    <row r="7" spans="2:8" ht="15.75">
      <c r="B7" s="9"/>
      <c r="C7" s="113"/>
      <c r="D7" s="38" t="s">
        <v>51</v>
      </c>
      <c r="E7" s="38" t="s">
        <v>58</v>
      </c>
      <c r="F7" s="38" t="s">
        <v>51</v>
      </c>
      <c r="G7" s="38" t="s">
        <v>117</v>
      </c>
      <c r="H7" s="9"/>
    </row>
    <row r="8" spans="2:8" ht="47.25">
      <c r="B8" s="9"/>
      <c r="C8" s="77" t="s">
        <v>118</v>
      </c>
      <c r="D8" s="33" t="str">
        <f>CONCATENATE('Таблица 8'!H8," * ",'Таблица 8'!E12," / ",100)</f>
        <v>31 * 2,81030444964871 / 100</v>
      </c>
      <c r="E8" s="21">
        <f>вычислить.Е9.10</f>
        <v>0.87119437939110012</v>
      </c>
      <c r="F8" s="33" t="str">
        <f>CONCATENATE('Таблица 8'!I8," * ",'Таблица 8'!D12," / ",100)</f>
        <v>54 * 1,04019801980198 / 100</v>
      </c>
      <c r="G8" s="21">
        <f>вычислить.G9.10</f>
        <v>0.56170693069306921</v>
      </c>
      <c r="H8" s="9"/>
    </row>
    <row r="9" spans="2:8" ht="47.25">
      <c r="B9" s="9"/>
      <c r="C9" s="79" t="s">
        <v>245</v>
      </c>
      <c r="D9" s="76" t="str">
        <f>CONCATENATE('Таблица 2'!$F$8," * ",'Таблица 2'!$H$12," / ",100)</f>
        <v>458 * 0,448441958213593 / 100</v>
      </c>
      <c r="E9" s="21">
        <f>вычислить.Е10.10</f>
        <v>2.0538641686182562</v>
      </c>
      <c r="F9" s="33" t="str">
        <f>CONCATENATE('Таблица 2'!$F$8," * ",'Таблица 2'!$I$12," / ",100)</f>
        <v>458 * 0,107008517445628 / 100</v>
      </c>
      <c r="G9" s="21">
        <f>вычислить.G10.10</f>
        <v>0.49009900990097627</v>
      </c>
      <c r="H9" s="9"/>
    </row>
    <row r="10" spans="2:8" ht="31.5">
      <c r="B10" s="9"/>
      <c r="C10" s="78" t="s">
        <v>119</v>
      </c>
      <c r="D10" s="33" t="str">
        <f>CONCATENATE('Таблица 8'!H10," * ",'Таблица 8'!F8," / ",100)</f>
        <v>-0,889725207858216 * 458 / 100</v>
      </c>
      <c r="E10" s="21">
        <f>-вычислить.Е10.11</f>
        <v>4.0749414519906288</v>
      </c>
      <c r="F10" s="33" t="str">
        <f>CONCATENATE('Таблица 8'!I10," * ",'Таблица 8'!F8," / ",100)</f>
        <v>-3,05136408837391 * 458 / 100</v>
      </c>
      <c r="G10" s="21">
        <f>-вычислить.G10.11</f>
        <v>13.975247524752508</v>
      </c>
      <c r="H10" s="9"/>
    </row>
    <row r="11" spans="2:8" ht="15.75">
      <c r="B11" s="9"/>
      <c r="C11" s="12" t="s">
        <v>53</v>
      </c>
      <c r="D11" s="29" t="s">
        <v>54</v>
      </c>
      <c r="E11" s="17">
        <f>SUM(E8:E10)</f>
        <v>6.9999999999999849</v>
      </c>
      <c r="F11" s="29" t="s">
        <v>54</v>
      </c>
      <c r="G11" s="17">
        <f>SUM(G8:G10)</f>
        <v>15.027053465346553</v>
      </c>
      <c r="H11" s="9"/>
    </row>
    <row r="12" spans="2:8" ht="6.75" customHeight="1">
      <c r="B12" s="9"/>
      <c r="C12" s="9"/>
      <c r="D12" s="9"/>
      <c r="E12" s="9"/>
      <c r="F12" s="9"/>
      <c r="G12" s="9"/>
      <c r="H12" s="9"/>
    </row>
  </sheetData>
  <mergeCells count="4">
    <mergeCell ref="C4:G4"/>
    <mergeCell ref="D6:E6"/>
    <mergeCell ref="F6:G6"/>
    <mergeCell ref="C6:C7"/>
  </mergeCells>
  <pageMargins left="0.39370078740157483" right="0.39370078740157483" top="0.39370078740157483" bottom="0.39370078740157483" header="0.35433070866141736" footer="0.35433070866141736"/>
  <pageSetup paperSize="9" orientation="portrait" blackAndWhite="1" horizontalDpi="0" verticalDpi="0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>
  <sheetPr codeName="Лист22"/>
  <dimension ref="B1:J13"/>
  <sheetViews>
    <sheetView showGridLines="0" zoomScaleSheetLayoutView="100" workbookViewId="0">
      <pane ySplit="7" topLeftCell="A8" activePane="bottomLeft" state="frozen"/>
      <selection activeCell="G10" sqref="G10:I10"/>
      <selection pane="bottomLeft"/>
    </sheetView>
  </sheetViews>
  <sheetFormatPr defaultRowHeight="15.75"/>
  <cols>
    <col min="1" max="2" width="0.85546875" style="45" customWidth="1"/>
    <col min="3" max="3" width="26.85546875" style="45" customWidth="1"/>
    <col min="4" max="9" width="10.7109375" style="45" customWidth="1"/>
    <col min="10" max="10" width="0.85546875" style="45" customWidth="1"/>
    <col min="11" max="16384" width="9.140625" style="45"/>
  </cols>
  <sheetData>
    <row r="1" spans="2:10" ht="6" customHeight="1"/>
    <row r="2" spans="2:10" ht="6" customHeight="1">
      <c r="B2" s="4"/>
      <c r="C2" s="4"/>
      <c r="D2" s="4"/>
      <c r="E2" s="4"/>
      <c r="F2" s="4"/>
      <c r="G2" s="4"/>
      <c r="H2" s="4"/>
      <c r="I2" s="4"/>
      <c r="J2" s="4"/>
    </row>
    <row r="3" spans="2:10">
      <c r="B3" s="4"/>
      <c r="C3" s="4"/>
      <c r="D3" s="10"/>
      <c r="E3" s="10"/>
      <c r="F3" s="10"/>
      <c r="G3" s="10"/>
      <c r="H3" s="10"/>
      <c r="I3" s="11" t="s">
        <v>246</v>
      </c>
      <c r="J3" s="4"/>
    </row>
    <row r="4" spans="2:10" ht="38.25" customHeight="1">
      <c r="B4" s="4"/>
      <c r="C4" s="107" t="s">
        <v>120</v>
      </c>
      <c r="D4" s="107"/>
      <c r="E4" s="107"/>
      <c r="F4" s="107"/>
      <c r="G4" s="107"/>
      <c r="H4" s="107"/>
      <c r="I4" s="107"/>
      <c r="J4" s="4"/>
    </row>
    <row r="5" spans="2:10">
      <c r="B5" s="4"/>
      <c r="C5" s="27"/>
      <c r="D5" s="10"/>
      <c r="E5" s="10"/>
      <c r="F5" s="10"/>
      <c r="G5" s="10"/>
      <c r="H5" s="10"/>
      <c r="I5" s="10"/>
      <c r="J5" s="4"/>
    </row>
    <row r="6" spans="2:10">
      <c r="B6" s="4"/>
      <c r="C6" s="111" t="s">
        <v>33</v>
      </c>
      <c r="D6" s="111" t="s">
        <v>3</v>
      </c>
      <c r="E6" s="111" t="s">
        <v>4</v>
      </c>
      <c r="F6" s="111" t="s">
        <v>121</v>
      </c>
      <c r="G6" s="111"/>
      <c r="H6" s="111"/>
      <c r="I6" s="111" t="s">
        <v>34</v>
      </c>
      <c r="J6" s="4"/>
    </row>
    <row r="7" spans="2:10" ht="32.25" customHeight="1">
      <c r="B7" s="4"/>
      <c r="C7" s="111"/>
      <c r="D7" s="111"/>
      <c r="E7" s="111"/>
      <c r="F7" s="39" t="s">
        <v>122</v>
      </c>
      <c r="G7" s="39" t="s">
        <v>123</v>
      </c>
      <c r="H7" s="39" t="s">
        <v>124</v>
      </c>
      <c r="I7" s="111"/>
      <c r="J7" s="4"/>
    </row>
    <row r="8" spans="2:10" ht="31.5">
      <c r="B8" s="4"/>
      <c r="C8" s="12" t="s">
        <v>35</v>
      </c>
      <c r="D8" s="32" t="s">
        <v>125</v>
      </c>
      <c r="E8" s="32" t="s">
        <v>37</v>
      </c>
      <c r="F8" s="32" t="s">
        <v>37</v>
      </c>
      <c r="G8" s="32" t="s">
        <v>37</v>
      </c>
      <c r="H8" s="32" t="s">
        <v>37</v>
      </c>
      <c r="I8" s="32" t="s">
        <v>126</v>
      </c>
      <c r="J8" s="4"/>
    </row>
    <row r="9" spans="2:10" ht="47.25">
      <c r="B9" s="4"/>
      <c r="C9" s="12" t="s">
        <v>127</v>
      </c>
      <c r="D9" s="32" t="s">
        <v>128</v>
      </c>
      <c r="E9" s="32" t="s">
        <v>129</v>
      </c>
      <c r="F9" s="32" t="s">
        <v>128</v>
      </c>
      <c r="G9" s="32" t="s">
        <v>129</v>
      </c>
      <c r="H9" s="32" t="s">
        <v>129</v>
      </c>
      <c r="I9" s="32" t="s">
        <v>130</v>
      </c>
      <c r="J9" s="4"/>
    </row>
    <row r="10" spans="2:10" ht="47.25">
      <c r="B10" s="4"/>
      <c r="C10" s="12" t="s">
        <v>131</v>
      </c>
      <c r="D10" s="32" t="s">
        <v>132</v>
      </c>
      <c r="E10" s="32" t="s">
        <v>133</v>
      </c>
      <c r="F10" s="32" t="s">
        <v>132</v>
      </c>
      <c r="G10" s="32" t="s">
        <v>132</v>
      </c>
      <c r="H10" s="32" t="s">
        <v>133</v>
      </c>
      <c r="I10" s="32" t="s">
        <v>134</v>
      </c>
      <c r="J10" s="4"/>
    </row>
    <row r="11" spans="2:10" ht="31.5">
      <c r="B11" s="4"/>
      <c r="C11" s="12" t="s">
        <v>135</v>
      </c>
      <c r="D11" s="32" t="s">
        <v>41</v>
      </c>
      <c r="E11" s="32" t="s">
        <v>42</v>
      </c>
      <c r="F11" s="32" t="s">
        <v>41</v>
      </c>
      <c r="G11" s="32" t="s">
        <v>41</v>
      </c>
      <c r="H11" s="32" t="s">
        <v>41</v>
      </c>
      <c r="I11" s="32" t="s">
        <v>136</v>
      </c>
      <c r="J11" s="4"/>
    </row>
    <row r="12" spans="2:10" ht="31.5">
      <c r="B12" s="4"/>
      <c r="C12" s="12" t="s">
        <v>137</v>
      </c>
      <c r="D12" s="32" t="s">
        <v>138</v>
      </c>
      <c r="E12" s="32" t="s">
        <v>139</v>
      </c>
      <c r="F12" s="32" t="s">
        <v>140</v>
      </c>
      <c r="G12" s="32" t="s">
        <v>141</v>
      </c>
      <c r="H12" s="32" t="s">
        <v>142</v>
      </c>
      <c r="I12" s="32" t="s">
        <v>143</v>
      </c>
      <c r="J12" s="4"/>
    </row>
    <row r="13" spans="2:10" ht="6" customHeight="1">
      <c r="B13" s="4"/>
      <c r="C13" s="4"/>
      <c r="D13" s="4"/>
      <c r="E13" s="4"/>
      <c r="F13" s="4"/>
      <c r="G13" s="4"/>
      <c r="H13" s="4"/>
      <c r="I13" s="4"/>
      <c r="J13" s="4"/>
    </row>
  </sheetData>
  <mergeCells count="6">
    <mergeCell ref="C4:I4"/>
    <mergeCell ref="C6:C7"/>
    <mergeCell ref="D6:D7"/>
    <mergeCell ref="E6:E7"/>
    <mergeCell ref="F6:H6"/>
    <mergeCell ref="I6:I7"/>
  </mergeCells>
  <pageMargins left="0.39370078740157483" right="0.39370078740157483" top="0.39370078740157483" bottom="0.39370078740157483" header="0.35433070866141736" footer="0.35433070866141736"/>
  <pageSetup paperSize="9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sheetPr codeName="Лист23"/>
  <dimension ref="B1:L14"/>
  <sheetViews>
    <sheetView showGridLines="0" zoomScaleSheetLayoutView="100" workbookViewId="0">
      <pane ySplit="7" topLeftCell="A8" activePane="bottomLeft" state="frozen"/>
      <selection activeCell="G10" sqref="G10:I10"/>
      <selection pane="bottomLeft"/>
    </sheetView>
  </sheetViews>
  <sheetFormatPr defaultRowHeight="15.75"/>
  <cols>
    <col min="1" max="2" width="0.85546875" style="46" customWidth="1"/>
    <col min="3" max="3" width="16.42578125" style="46" customWidth="1"/>
    <col min="4" max="4" width="9.5703125" style="46" customWidth="1"/>
    <col min="5" max="5" width="9.85546875" style="46" customWidth="1"/>
    <col min="6" max="6" width="9.140625" style="46" customWidth="1"/>
    <col min="7" max="8" width="9.140625" style="46"/>
    <col min="9" max="9" width="20.140625" style="46" customWidth="1"/>
    <col min="10" max="10" width="9.140625" style="46"/>
    <col min="11" max="11" width="0.85546875" style="46" customWidth="1"/>
    <col min="12" max="12" width="9.140625" style="46"/>
    <col min="13" max="13" width="13.5703125" style="46" bestFit="1" customWidth="1"/>
    <col min="14" max="16384" width="9.140625" style="46"/>
  </cols>
  <sheetData>
    <row r="1" spans="2:12" ht="6" customHeight="1"/>
    <row r="2" spans="2:12" ht="6" customHeight="1">
      <c r="B2" s="10"/>
      <c r="C2" s="10"/>
      <c r="D2" s="10"/>
      <c r="E2" s="10"/>
      <c r="F2" s="10"/>
      <c r="G2" s="10"/>
      <c r="H2" s="10"/>
      <c r="I2" s="10"/>
      <c r="J2" s="10"/>
      <c r="K2" s="10"/>
    </row>
    <row r="3" spans="2:12">
      <c r="B3" s="10"/>
      <c r="C3" s="10"/>
      <c r="D3" s="10"/>
      <c r="E3" s="10"/>
      <c r="F3" s="49"/>
      <c r="G3" s="10"/>
      <c r="H3" s="10"/>
      <c r="I3" s="125" t="s">
        <v>248</v>
      </c>
      <c r="J3" s="125"/>
      <c r="K3" s="10"/>
    </row>
    <row r="4" spans="2:12" ht="58.5" customHeight="1">
      <c r="B4" s="10"/>
      <c r="C4" s="127" t="s">
        <v>296</v>
      </c>
      <c r="D4" s="127"/>
      <c r="E4" s="127"/>
      <c r="F4" s="127"/>
      <c r="G4" s="127"/>
      <c r="H4" s="127"/>
      <c r="I4" s="127"/>
      <c r="J4" s="127"/>
      <c r="K4" s="10"/>
    </row>
    <row r="5" spans="2:12">
      <c r="B5" s="10"/>
      <c r="C5" s="3"/>
      <c r="D5" s="10"/>
      <c r="E5" s="10"/>
      <c r="F5" s="10"/>
      <c r="G5" s="10"/>
      <c r="H5" s="10"/>
      <c r="I5" s="110" t="s">
        <v>18</v>
      </c>
      <c r="J5" s="110"/>
      <c r="K5" s="10"/>
    </row>
    <row r="6" spans="2:12">
      <c r="B6" s="10"/>
      <c r="C6" s="111" t="s">
        <v>144</v>
      </c>
      <c r="D6" s="111" t="s">
        <v>20</v>
      </c>
      <c r="E6" s="111" t="s">
        <v>247</v>
      </c>
      <c r="F6" s="111" t="s">
        <v>121</v>
      </c>
      <c r="G6" s="111"/>
      <c r="H6" s="111"/>
      <c r="I6" s="111" t="s">
        <v>116</v>
      </c>
      <c r="J6" s="111"/>
      <c r="K6" s="10"/>
      <c r="L6" s="47"/>
    </row>
    <row r="7" spans="2:12" ht="15" customHeight="1">
      <c r="B7" s="10"/>
      <c r="C7" s="111"/>
      <c r="D7" s="111"/>
      <c r="E7" s="111"/>
      <c r="F7" s="44" t="s">
        <v>122</v>
      </c>
      <c r="G7" s="44" t="s">
        <v>123</v>
      </c>
      <c r="H7" s="44" t="s">
        <v>124</v>
      </c>
      <c r="I7" s="44" t="s">
        <v>51</v>
      </c>
      <c r="J7" s="44" t="s">
        <v>58</v>
      </c>
      <c r="K7" s="10"/>
    </row>
    <row r="8" spans="2:12" ht="63">
      <c r="B8" s="10"/>
      <c r="C8" s="12" t="s">
        <v>145</v>
      </c>
      <c r="D8" s="36">
        <f>'Таблица 2'!D8</f>
        <v>404</v>
      </c>
      <c r="E8" s="36">
        <f>'Таблица 2'!F8</f>
        <v>458</v>
      </c>
      <c r="F8" s="23">
        <f>E8</f>
        <v>458</v>
      </c>
      <c r="G8" s="23">
        <f>E8</f>
        <v>458</v>
      </c>
      <c r="H8" s="23">
        <f>E8</f>
        <v>458</v>
      </c>
      <c r="I8" s="33" t="str">
        <f>CONCATENATE(H12," - ",D12)</f>
        <v>18,532100990099 - 4,2024</v>
      </c>
      <c r="J8" s="17">
        <f>вычислить.J12.9</f>
        <v>14.329700990098999</v>
      </c>
      <c r="K8" s="10"/>
    </row>
    <row r="9" spans="2:12" ht="63">
      <c r="B9" s="10"/>
      <c r="C9" s="12" t="s">
        <v>146</v>
      </c>
      <c r="D9" s="36">
        <f>'Таблица 1'!E19</f>
        <v>102.8</v>
      </c>
      <c r="E9" s="36">
        <f>'Таблица 1'!F19</f>
        <v>105.2</v>
      </c>
      <c r="F9" s="17">
        <f>D9</f>
        <v>102.8</v>
      </c>
      <c r="G9" s="17">
        <f>E9</f>
        <v>105.2</v>
      </c>
      <c r="H9" s="17">
        <f>E9</f>
        <v>105.2</v>
      </c>
      <c r="I9" s="33" t="str">
        <f>CONCATENATE(G12," - ",F12)</f>
        <v>16,104700990099 - 18,504700990099</v>
      </c>
      <c r="J9" s="17">
        <f>вычислить.J12.10</f>
        <v>-2.3999999999999986</v>
      </c>
      <c r="K9" s="10"/>
    </row>
    <row r="10" spans="2:12" ht="78.75">
      <c r="B10" s="10"/>
      <c r="C10" s="12" t="s">
        <v>147</v>
      </c>
      <c r="D10" s="36">
        <f>'Таблица 1'!E20</f>
        <v>5.94</v>
      </c>
      <c r="E10" s="36">
        <f>'Таблица 1'!F20</f>
        <v>5.41</v>
      </c>
      <c r="F10" s="17">
        <f>D10</f>
        <v>5.94</v>
      </c>
      <c r="G10" s="17">
        <f>D10</f>
        <v>5.94</v>
      </c>
      <c r="H10" s="17">
        <f>E10</f>
        <v>5.41</v>
      </c>
      <c r="I10" s="33" t="str">
        <f>CONCATENATE(H12," - ",G12)</f>
        <v>18,532100990099 - 16,104700990099</v>
      </c>
      <c r="J10" s="17">
        <f>вычислить.J12.11</f>
        <v>2.4273999999999987</v>
      </c>
      <c r="K10" s="10"/>
    </row>
    <row r="11" spans="2:12" ht="47.25">
      <c r="B11" s="10"/>
      <c r="C11" s="12" t="s">
        <v>148</v>
      </c>
      <c r="D11" s="36">
        <f>'Таблица 2'!D12</f>
        <v>32.425742574257427</v>
      </c>
      <c r="E11" s="36">
        <f>'Таблица 2'!F12</f>
        <v>32.532751091703055</v>
      </c>
      <c r="F11" s="17">
        <f>D11</f>
        <v>32.425742574257427</v>
      </c>
      <c r="G11" s="17">
        <f>D11</f>
        <v>32.425742574257427</v>
      </c>
      <c r="H11" s="17">
        <f>D11</f>
        <v>32.425742574257427</v>
      </c>
      <c r="I11" s="33" t="str">
        <f>CONCATENATE(E12,"-",F12)</f>
        <v>19,0222-18,504700990099</v>
      </c>
      <c r="J11" s="17">
        <f>вычислить.J12.12</f>
        <v>0.51749900990100173</v>
      </c>
      <c r="K11" s="10"/>
    </row>
    <row r="12" spans="2:12" ht="61.5" customHeight="1">
      <c r="B12" s="10"/>
      <c r="C12" s="12" t="s">
        <v>149</v>
      </c>
      <c r="D12" s="17">
        <f>D8*(D11-D10)/100-D9</f>
        <v>4.2023999999999972</v>
      </c>
      <c r="E12" s="17">
        <f>E8*(E11-E10)/100-E9</f>
        <v>19.022199999999984</v>
      </c>
      <c r="F12" s="17">
        <f>F8*(F11-F10)/100-F9</f>
        <v>18.50470099009901</v>
      </c>
      <c r="G12" s="17">
        <f>G8*(G11-G10)/100-G9</f>
        <v>16.104700990099005</v>
      </c>
      <c r="H12" s="17">
        <f>H8*(H11-H10)/100-H9</f>
        <v>18.532100990099011</v>
      </c>
      <c r="I12" s="33" t="str">
        <f>CONCATENATE(E12,"-",D12)</f>
        <v>19,0222-4,2024</v>
      </c>
      <c r="J12" s="17">
        <f>вычислить.J12.13</f>
        <v>14.819800000000001</v>
      </c>
      <c r="K12" s="49"/>
    </row>
    <row r="13" spans="2:12" ht="6" customHeight="1">
      <c r="B13" s="10"/>
      <c r="C13" s="10"/>
      <c r="D13" s="10"/>
      <c r="E13" s="10"/>
      <c r="F13" s="10"/>
      <c r="G13" s="10"/>
      <c r="H13" s="10"/>
      <c r="I13" s="10"/>
      <c r="J13" s="10"/>
      <c r="K13" s="10"/>
    </row>
    <row r="14" spans="2:12">
      <c r="D14" s="48"/>
    </row>
  </sheetData>
  <mergeCells count="8">
    <mergeCell ref="I3:J3"/>
    <mergeCell ref="C4:J4"/>
    <mergeCell ref="I5:J5"/>
    <mergeCell ref="C6:C7"/>
    <mergeCell ref="D6:D7"/>
    <mergeCell ref="E6:E7"/>
    <mergeCell ref="F6:H6"/>
    <mergeCell ref="I6:J6"/>
  </mergeCells>
  <pageMargins left="0.39370078740157483" right="0.39370078740157483" top="0.39370078740157483" bottom="0.39370078740157483" header="0.35433070866141736" footer="0.35433070866141736"/>
  <pageSetup paperSize="9" orientation="portrait" horizontalDpi="300" verticalDpi="300" r:id="rId1"/>
  <headerFooter alignWithMargins="0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>
  <sheetPr codeName="Лист24"/>
  <dimension ref="B1:L24"/>
  <sheetViews>
    <sheetView showGridLines="0" zoomScaleSheetLayoutView="100" workbookViewId="0">
      <pane ySplit="6" topLeftCell="A7" activePane="bottomLeft" state="frozen"/>
      <selection activeCell="G10" sqref="G10:I10"/>
      <selection pane="bottomLeft"/>
    </sheetView>
  </sheetViews>
  <sheetFormatPr defaultRowHeight="15.75"/>
  <cols>
    <col min="1" max="2" width="0.85546875" style="45" customWidth="1"/>
    <col min="3" max="3" width="48.42578125" style="45" customWidth="1"/>
    <col min="4" max="7" width="10.7109375" style="45" customWidth="1"/>
    <col min="8" max="8" width="0.85546875" style="45" customWidth="1"/>
    <col min="9" max="16384" width="9.140625" style="45"/>
  </cols>
  <sheetData>
    <row r="1" spans="2:12" ht="6.75" customHeight="1"/>
    <row r="2" spans="2:12" ht="6.75" customHeight="1">
      <c r="B2" s="4"/>
      <c r="C2" s="4"/>
      <c r="D2" s="4"/>
      <c r="E2" s="4"/>
      <c r="F2" s="4"/>
      <c r="G2" s="4"/>
      <c r="H2" s="4"/>
    </row>
    <row r="3" spans="2:12">
      <c r="B3" s="4"/>
      <c r="C3" s="4"/>
      <c r="D3" s="10"/>
      <c r="E3" s="10"/>
      <c r="F3" s="125" t="s">
        <v>252</v>
      </c>
      <c r="G3" s="125"/>
      <c r="H3" s="4"/>
    </row>
    <row r="4" spans="2:12" ht="38.25" customHeight="1">
      <c r="B4" s="4"/>
      <c r="C4" s="127" t="s">
        <v>150</v>
      </c>
      <c r="D4" s="127"/>
      <c r="E4" s="127"/>
      <c r="F4" s="127"/>
      <c r="G4" s="127"/>
      <c r="H4" s="52"/>
      <c r="I4" s="51"/>
      <c r="J4" s="51"/>
      <c r="K4" s="51"/>
      <c r="L4" s="51"/>
    </row>
    <row r="5" spans="2:12">
      <c r="B5" s="4"/>
      <c r="C5" s="3"/>
      <c r="D5" s="10"/>
      <c r="E5" s="10"/>
      <c r="F5" s="10"/>
      <c r="G5" s="10"/>
      <c r="H5" s="4"/>
    </row>
    <row r="6" spans="2:12" ht="47.25">
      <c r="B6" s="4"/>
      <c r="C6" s="44" t="s">
        <v>33</v>
      </c>
      <c r="D6" s="44" t="s">
        <v>249</v>
      </c>
      <c r="E6" s="44" t="s">
        <v>247</v>
      </c>
      <c r="F6" s="44" t="s">
        <v>151</v>
      </c>
      <c r="G6" s="44" t="s">
        <v>250</v>
      </c>
      <c r="H6" s="4"/>
    </row>
    <row r="7" spans="2:12">
      <c r="B7" s="4"/>
      <c r="C7" s="105" t="s">
        <v>297</v>
      </c>
      <c r="D7" s="16">
        <f>'Таблица 7'!D15</f>
        <v>7.2023999999999972</v>
      </c>
      <c r="E7" s="16">
        <f>'Таблица 7'!F15</f>
        <v>25.022199999999984</v>
      </c>
      <c r="F7" s="53">
        <f t="shared" ref="F7:F23" si="0">E7-D7</f>
        <v>17.819799999999987</v>
      </c>
      <c r="G7" s="17">
        <f t="shared" ref="G7:G23" si="1">E7/D7*100</f>
        <v>347.41475063867591</v>
      </c>
      <c r="H7" s="4"/>
    </row>
    <row r="8" spans="2:12" ht="31.5">
      <c r="B8" s="4"/>
      <c r="C8" s="12" t="s">
        <v>253</v>
      </c>
      <c r="D8" s="16">
        <f>'Таблица 2'!D8</f>
        <v>404</v>
      </c>
      <c r="E8" s="16">
        <f>'Таблица 2'!F8</f>
        <v>458</v>
      </c>
      <c r="F8" s="53">
        <f t="shared" si="0"/>
        <v>54</v>
      </c>
      <c r="G8" s="17">
        <f t="shared" si="1"/>
        <v>113.36633663366335</v>
      </c>
      <c r="H8" s="4"/>
    </row>
    <row r="9" spans="2:12">
      <c r="B9" s="4"/>
      <c r="C9" s="12" t="s">
        <v>152</v>
      </c>
      <c r="D9" s="50">
        <f>D7/D8*100</f>
        <v>1.7827722772277221</v>
      </c>
      <c r="E9" s="50">
        <f>E7/E8*100</f>
        <v>5.4633624454148428</v>
      </c>
      <c r="F9" s="50">
        <f t="shared" si="0"/>
        <v>3.6805901681871207</v>
      </c>
      <c r="G9" s="17">
        <f t="shared" si="1"/>
        <v>306.45318615289312</v>
      </c>
      <c r="H9" s="4"/>
    </row>
    <row r="10" spans="2:12">
      <c r="B10" s="4"/>
      <c r="C10" s="12" t="s">
        <v>153</v>
      </c>
      <c r="D10" s="16">
        <f>'Таблица 9'!D12</f>
        <v>127</v>
      </c>
      <c r="E10" s="16">
        <f>'Таблица 9'!F12</f>
        <v>130</v>
      </c>
      <c r="F10" s="53">
        <f t="shared" si="0"/>
        <v>3</v>
      </c>
      <c r="G10" s="17">
        <f t="shared" si="1"/>
        <v>102.36220472440945</v>
      </c>
      <c r="H10" s="4"/>
    </row>
    <row r="11" spans="2:12">
      <c r="B11" s="4"/>
      <c r="C11" s="12" t="s">
        <v>154</v>
      </c>
      <c r="D11" s="50">
        <f>D7/D10*100</f>
        <v>5.671181102362203</v>
      </c>
      <c r="E11" s="50">
        <f>E7/E10*100</f>
        <v>19.24784615384614</v>
      </c>
      <c r="F11" s="50">
        <f t="shared" si="0"/>
        <v>13.576665051483937</v>
      </c>
      <c r="G11" s="17">
        <f t="shared" si="1"/>
        <v>339.3974871623987</v>
      </c>
      <c r="H11" s="4"/>
    </row>
    <row r="12" spans="2:12" ht="31.5">
      <c r="B12" s="4"/>
      <c r="C12" s="12" t="s">
        <v>254</v>
      </c>
      <c r="D12" s="20">
        <v>91.5</v>
      </c>
      <c r="E12" s="20">
        <v>109.5</v>
      </c>
      <c r="F12" s="50">
        <f t="shared" si="0"/>
        <v>18</v>
      </c>
      <c r="G12" s="17">
        <f t="shared" si="1"/>
        <v>119.67213114754098</v>
      </c>
      <c r="H12" s="4"/>
    </row>
    <row r="13" spans="2:12" ht="31.5">
      <c r="B13" s="4"/>
      <c r="C13" s="12" t="s">
        <v>155</v>
      </c>
      <c r="D13" s="50">
        <f>D7/D12*100</f>
        <v>7.8714754098360622</v>
      </c>
      <c r="E13" s="50">
        <f>E7/E12*100</f>
        <v>22.851324200913229</v>
      </c>
      <c r="F13" s="50">
        <f t="shared" si="0"/>
        <v>14.979848791077167</v>
      </c>
      <c r="G13" s="17">
        <f t="shared" si="1"/>
        <v>290.30547656108536</v>
      </c>
      <c r="H13" s="4"/>
    </row>
    <row r="14" spans="2:12" ht="31.5">
      <c r="B14" s="4"/>
      <c r="C14" s="12" t="s">
        <v>255</v>
      </c>
      <c r="D14" s="20">
        <v>8.5</v>
      </c>
      <c r="E14" s="20">
        <v>8.5</v>
      </c>
      <c r="F14" s="50">
        <f t="shared" si="0"/>
        <v>0</v>
      </c>
      <c r="G14" s="17">
        <f t="shared" si="1"/>
        <v>100</v>
      </c>
      <c r="H14" s="4"/>
    </row>
    <row r="15" spans="2:12">
      <c r="B15" s="4"/>
      <c r="C15" s="12" t="s">
        <v>156</v>
      </c>
      <c r="D15" s="50">
        <f>D7/D14*100</f>
        <v>84.734117647058795</v>
      </c>
      <c r="E15" s="50">
        <f>E7/E14*100</f>
        <v>294.37882352941159</v>
      </c>
      <c r="F15" s="50">
        <f t="shared" si="0"/>
        <v>209.64470588235281</v>
      </c>
      <c r="G15" s="17">
        <f t="shared" si="1"/>
        <v>347.41475063867591</v>
      </c>
      <c r="H15" s="4"/>
    </row>
    <row r="16" spans="2:12" ht="31.5">
      <c r="B16" s="4"/>
      <c r="C16" s="12" t="s">
        <v>251</v>
      </c>
      <c r="D16" s="54">
        <v>83</v>
      </c>
      <c r="E16" s="54">
        <v>101</v>
      </c>
      <c r="F16" s="53">
        <f t="shared" si="0"/>
        <v>18</v>
      </c>
      <c r="G16" s="17">
        <f t="shared" si="1"/>
        <v>121.68674698795181</v>
      </c>
      <c r="H16" s="4"/>
    </row>
    <row r="17" spans="2:8">
      <c r="B17" s="4"/>
      <c r="C17" s="12" t="s">
        <v>157</v>
      </c>
      <c r="D17" s="50">
        <f>D7/D16*100</f>
        <v>8.6775903614457786</v>
      </c>
      <c r="E17" s="50">
        <f>E7/E16*100</f>
        <v>24.77445544554454</v>
      </c>
      <c r="F17" s="50">
        <f t="shared" si="0"/>
        <v>16.096865084098759</v>
      </c>
      <c r="G17" s="17">
        <f t="shared" si="1"/>
        <v>285.49925052485253</v>
      </c>
      <c r="H17" s="4"/>
    </row>
    <row r="18" spans="2:8">
      <c r="B18" s="4"/>
      <c r="C18" s="12" t="s">
        <v>158</v>
      </c>
      <c r="D18" s="20">
        <v>-56.5</v>
      </c>
      <c r="E18" s="20">
        <v>-29.5</v>
      </c>
      <c r="F18" s="50">
        <f t="shared" si="0"/>
        <v>27</v>
      </c>
      <c r="G18" s="17">
        <f t="shared" si="1"/>
        <v>52.212389380530979</v>
      </c>
      <c r="H18" s="4"/>
    </row>
    <row r="19" spans="2:8">
      <c r="B19" s="4"/>
      <c r="C19" s="12" t="s">
        <v>159</v>
      </c>
      <c r="D19" s="50">
        <f>D18/D7*100</f>
        <v>-784.46073531045238</v>
      </c>
      <c r="E19" s="50">
        <f>E18/E7*100</f>
        <v>-117.89530896563858</v>
      </c>
      <c r="F19" s="50">
        <f t="shared" si="0"/>
        <v>666.56542634481377</v>
      </c>
      <c r="G19" s="17">
        <f t="shared" si="1"/>
        <v>15.028834925559556</v>
      </c>
      <c r="H19" s="4"/>
    </row>
    <row r="20" spans="2:8">
      <c r="B20" s="4"/>
      <c r="C20" s="105" t="s">
        <v>298</v>
      </c>
      <c r="D20" s="54">
        <v>137</v>
      </c>
      <c r="E20" s="54">
        <v>142</v>
      </c>
      <c r="F20" s="53">
        <f t="shared" si="0"/>
        <v>5</v>
      </c>
      <c r="G20" s="17">
        <f t="shared" si="1"/>
        <v>103.64963503649636</v>
      </c>
      <c r="H20" s="4"/>
    </row>
    <row r="21" spans="2:8">
      <c r="B21" s="4"/>
      <c r="C21" s="12" t="s">
        <v>160</v>
      </c>
      <c r="D21" s="50">
        <f>D7/D20*100</f>
        <v>5.2572262773722604</v>
      </c>
      <c r="E21" s="50">
        <f>E7/E20*100</f>
        <v>17.621267605633793</v>
      </c>
      <c r="F21" s="50">
        <f t="shared" si="0"/>
        <v>12.364041328261532</v>
      </c>
      <c r="G21" s="17">
        <f t="shared" si="1"/>
        <v>335.18183688379304</v>
      </c>
      <c r="H21" s="4"/>
    </row>
    <row r="22" spans="2:8">
      <c r="B22" s="4"/>
      <c r="C22" s="105" t="s">
        <v>8</v>
      </c>
      <c r="D22" s="16">
        <f>'Таблица 6'!D9</f>
        <v>42</v>
      </c>
      <c r="E22" s="16">
        <f>'Таблица 6'!E9</f>
        <v>43</v>
      </c>
      <c r="F22" s="53">
        <f t="shared" si="0"/>
        <v>1</v>
      </c>
      <c r="G22" s="17">
        <f t="shared" si="1"/>
        <v>102.38095238095238</v>
      </c>
      <c r="H22" s="4"/>
    </row>
    <row r="23" spans="2:8">
      <c r="B23" s="4"/>
      <c r="C23" s="12" t="s">
        <v>161</v>
      </c>
      <c r="D23" s="50">
        <f>D7/D22</f>
        <v>0.17148571428571421</v>
      </c>
      <c r="E23" s="50">
        <f>E7/E22</f>
        <v>0.58191162790697637</v>
      </c>
      <c r="F23" s="50">
        <f t="shared" si="0"/>
        <v>0.41042591362126213</v>
      </c>
      <c r="G23" s="17">
        <f t="shared" si="1"/>
        <v>339.33533783312532</v>
      </c>
      <c r="H23" s="4"/>
    </row>
    <row r="24" spans="2:8" ht="6" customHeight="1">
      <c r="B24" s="4"/>
      <c r="C24" s="4"/>
      <c r="D24" s="4"/>
      <c r="E24" s="4"/>
      <c r="F24" s="4"/>
      <c r="G24" s="4"/>
      <c r="H24" s="4"/>
    </row>
  </sheetData>
  <mergeCells count="2">
    <mergeCell ref="F3:G3"/>
    <mergeCell ref="C4:G4"/>
  </mergeCells>
  <pageMargins left="0.39370078740157483" right="0.39370078740157483" top="0.39370078740157483" bottom="0.39370078740157483" header="0.35433070866141736" footer="0.35433070866141736"/>
  <pageSetup paperSize="9" orientation="portrait" blackAndWhite="1" r:id="rId1"/>
  <headerFooter alignWithMargins="0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>
  <sheetPr codeName="Лист25"/>
  <dimension ref="B1:L16"/>
  <sheetViews>
    <sheetView showGridLines="0" zoomScaleSheetLayoutView="100" workbookViewId="0">
      <pane ySplit="7" topLeftCell="A8" activePane="bottomLeft" state="frozen"/>
      <selection activeCell="G10" sqref="G10:I10"/>
      <selection pane="bottomLeft"/>
    </sheetView>
  </sheetViews>
  <sheetFormatPr defaultRowHeight="15.75"/>
  <cols>
    <col min="1" max="2" width="0.85546875" style="45" customWidth="1"/>
    <col min="3" max="3" width="49.42578125" style="45" customWidth="1"/>
    <col min="4" max="4" width="9.28515625" style="45" customWidth="1"/>
    <col min="5" max="5" width="9.5703125" style="45" customWidth="1"/>
    <col min="6" max="6" width="8.85546875" style="45" customWidth="1"/>
    <col min="7" max="7" width="9.5703125" style="45" customWidth="1"/>
    <col min="8" max="8" width="0.85546875" style="45" customWidth="1"/>
    <col min="9" max="16384" width="9.140625" style="45"/>
  </cols>
  <sheetData>
    <row r="1" spans="2:12" ht="6" customHeight="1"/>
    <row r="2" spans="2:12" ht="6" customHeight="1">
      <c r="B2" s="4"/>
      <c r="C2" s="4"/>
      <c r="D2" s="4"/>
      <c r="E2" s="4"/>
      <c r="F2" s="4"/>
      <c r="G2" s="4"/>
      <c r="H2" s="4"/>
    </row>
    <row r="3" spans="2:12">
      <c r="B3" s="4"/>
      <c r="C3" s="4"/>
      <c r="D3" s="10"/>
      <c r="E3" s="10"/>
      <c r="F3" s="125" t="s">
        <v>304</v>
      </c>
      <c r="G3" s="125"/>
      <c r="H3" s="4"/>
    </row>
    <row r="4" spans="2:12" ht="39" customHeight="1">
      <c r="B4" s="4"/>
      <c r="C4" s="107" t="s">
        <v>150</v>
      </c>
      <c r="D4" s="107"/>
      <c r="E4" s="107"/>
      <c r="F4" s="107"/>
      <c r="G4" s="107"/>
      <c r="H4" s="52"/>
      <c r="I4" s="51"/>
      <c r="J4" s="51"/>
      <c r="K4" s="51"/>
      <c r="L4" s="51"/>
    </row>
    <row r="5" spans="2:12">
      <c r="B5" s="4"/>
      <c r="C5" s="3"/>
      <c r="D5" s="10"/>
      <c r="E5" s="10"/>
      <c r="F5" s="10"/>
      <c r="G5" s="56" t="s">
        <v>18</v>
      </c>
      <c r="H5" s="4"/>
    </row>
    <row r="6" spans="2:12" ht="63">
      <c r="B6" s="4"/>
      <c r="C6" s="55" t="s">
        <v>33</v>
      </c>
      <c r="D6" s="55" t="s">
        <v>249</v>
      </c>
      <c r="E6" s="55" t="s">
        <v>247</v>
      </c>
      <c r="F6" s="104" t="s">
        <v>299</v>
      </c>
      <c r="G6" s="55" t="s">
        <v>250</v>
      </c>
      <c r="H6" s="4"/>
    </row>
    <row r="7" spans="2:12">
      <c r="B7" s="4"/>
      <c r="C7" s="55">
        <v>1</v>
      </c>
      <c r="D7" s="55">
        <v>2</v>
      </c>
      <c r="E7" s="55">
        <v>3</v>
      </c>
      <c r="F7" s="55">
        <v>4</v>
      </c>
      <c r="G7" s="55">
        <v>5</v>
      </c>
      <c r="H7" s="4"/>
    </row>
    <row r="8" spans="2:12">
      <c r="B8" s="4"/>
      <c r="C8" s="12" t="s">
        <v>110</v>
      </c>
      <c r="D8" s="16">
        <f>'Таблица 2'!D8</f>
        <v>404</v>
      </c>
      <c r="E8" s="16">
        <f>'Таблица 2'!F8</f>
        <v>458</v>
      </c>
      <c r="F8" s="53">
        <f>E8-D8</f>
        <v>54</v>
      </c>
      <c r="G8" s="50">
        <f>E8/D8*100</f>
        <v>113.36633663366335</v>
      </c>
      <c r="H8" s="4"/>
    </row>
    <row r="9" spans="2:12">
      <c r="B9" s="4"/>
      <c r="C9" s="12" t="s">
        <v>111</v>
      </c>
      <c r="D9" s="16">
        <f>'Таблица 9'!D10</f>
        <v>400</v>
      </c>
      <c r="E9" s="16">
        <f>'Таблица 9'!F10</f>
        <v>439</v>
      </c>
      <c r="F9" s="53">
        <f>E9-D9</f>
        <v>39</v>
      </c>
      <c r="G9" s="50">
        <f>E9/D9*100</f>
        <v>109.74999999999999</v>
      </c>
      <c r="H9" s="4"/>
    </row>
    <row r="10" spans="2:12">
      <c r="B10" s="4"/>
      <c r="C10" s="105" t="s">
        <v>300</v>
      </c>
      <c r="D10" s="16">
        <f>'Таблица 9'!D12</f>
        <v>127</v>
      </c>
      <c r="E10" s="16">
        <f>'Таблица 9'!F12</f>
        <v>130</v>
      </c>
      <c r="F10" s="53">
        <f>E10-D10</f>
        <v>3</v>
      </c>
      <c r="G10" s="50">
        <f>E10/D10*100</f>
        <v>102.36220472440945</v>
      </c>
      <c r="H10" s="4"/>
    </row>
    <row r="11" spans="2:12">
      <c r="B11" s="4"/>
      <c r="C11" s="12" t="s">
        <v>163</v>
      </c>
      <c r="D11" s="16">
        <f>'Таблица 12'!D12</f>
        <v>4.2023999999999972</v>
      </c>
      <c r="E11" s="16">
        <f>'Таблица 12'!E12</f>
        <v>19.022199999999984</v>
      </c>
      <c r="F11" s="53">
        <f>E11-D11</f>
        <v>14.819799999999987</v>
      </c>
      <c r="G11" s="50">
        <f>E11/D11*100</f>
        <v>452.6508661717113</v>
      </c>
      <c r="H11" s="4"/>
    </row>
    <row r="12" spans="2:12">
      <c r="B12" s="4"/>
      <c r="C12" s="12" t="s">
        <v>164</v>
      </c>
      <c r="D12" s="29"/>
      <c r="E12" s="29"/>
      <c r="F12" s="50"/>
      <c r="G12" s="50"/>
      <c r="H12" s="4"/>
    </row>
    <row r="13" spans="2:12">
      <c r="B13" s="4"/>
      <c r="C13" s="105" t="s">
        <v>301</v>
      </c>
      <c r="D13" s="50">
        <f>D11/D8*100</f>
        <v>1.0401980198019796</v>
      </c>
      <c r="E13" s="50">
        <f>E11/E8*100</f>
        <v>4.153318777292573</v>
      </c>
      <c r="F13" s="50">
        <f>E13-D13</f>
        <v>3.1131207574905932</v>
      </c>
      <c r="G13" s="50">
        <f>E13/D13*100</f>
        <v>399.28155007286324</v>
      </c>
      <c r="H13" s="4"/>
    </row>
    <row r="14" spans="2:12" ht="31.5">
      <c r="B14" s="4"/>
      <c r="C14" s="105" t="s">
        <v>302</v>
      </c>
      <c r="D14" s="50">
        <f>D11/D9*100</f>
        <v>1.0505999999999993</v>
      </c>
      <c r="E14" s="50">
        <f>E11/E9*100</f>
        <v>4.3330751708428208</v>
      </c>
      <c r="F14" s="50">
        <f>E14-D14</f>
        <v>3.2824751708428215</v>
      </c>
      <c r="G14" s="50">
        <f>E14/D14*100</f>
        <v>412.43814685349543</v>
      </c>
      <c r="H14" s="4"/>
    </row>
    <row r="15" spans="2:12" ht="31.5">
      <c r="B15" s="4"/>
      <c r="C15" s="105" t="s">
        <v>303</v>
      </c>
      <c r="D15" s="50">
        <f>D11/D10*100</f>
        <v>3.3089763779527535</v>
      </c>
      <c r="E15" s="50">
        <f>E11/E10*100</f>
        <v>14.632461538461525</v>
      </c>
      <c r="F15" s="50">
        <f>E15-D15</f>
        <v>11.323485160508772</v>
      </c>
      <c r="G15" s="50">
        <f>E15/D15*100</f>
        <v>442.20507695236415</v>
      </c>
      <c r="H15" s="4"/>
    </row>
    <row r="16" spans="2:12" ht="6" customHeight="1">
      <c r="B16" s="4"/>
      <c r="C16" s="4"/>
      <c r="D16" s="4"/>
      <c r="E16" s="4"/>
      <c r="F16" s="4"/>
      <c r="G16" s="4"/>
      <c r="H16" s="4"/>
    </row>
  </sheetData>
  <mergeCells count="2">
    <mergeCell ref="F3:G3"/>
    <mergeCell ref="C4:G4"/>
  </mergeCells>
  <pageMargins left="0.78740157480314965" right="0.39370078740157483" top="0.59055118110236227" bottom="0.59055118110236227" header="0.51181102362204722" footer="0.51181102362204722"/>
  <pageSetup paperSize="9" orientation="portrait" blackAndWhite="1" r:id="rId1"/>
  <headerFooter alignWithMargins="0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>
  <sheetPr codeName="Лист26"/>
  <dimension ref="B1:G12"/>
  <sheetViews>
    <sheetView showGridLines="0" zoomScaleSheetLayoutView="100" workbookViewId="0">
      <pane ySplit="6" topLeftCell="A7" activePane="bottomLeft" state="frozen"/>
      <selection pane="bottomLeft"/>
    </sheetView>
  </sheetViews>
  <sheetFormatPr defaultRowHeight="15.75"/>
  <cols>
    <col min="1" max="2" width="0.85546875" style="45" customWidth="1"/>
    <col min="3" max="3" width="22" style="45" customWidth="1"/>
    <col min="4" max="4" width="10.7109375" style="45" customWidth="1"/>
    <col min="5" max="5" width="11.85546875" style="45" customWidth="1"/>
    <col min="6" max="6" width="48.85546875" style="45" customWidth="1"/>
    <col min="7" max="7" width="0.85546875" style="45" customWidth="1"/>
    <col min="8" max="16384" width="9.140625" style="45"/>
  </cols>
  <sheetData>
    <row r="1" spans="2:7" ht="6" customHeight="1"/>
    <row r="2" spans="2:7" ht="6" customHeight="1">
      <c r="B2" s="4"/>
      <c r="C2" s="4"/>
      <c r="D2" s="4"/>
      <c r="E2" s="4"/>
      <c r="F2" s="4"/>
      <c r="G2" s="4"/>
    </row>
    <row r="3" spans="2:7">
      <c r="B3" s="4"/>
      <c r="C3" s="4"/>
      <c r="D3" s="10"/>
      <c r="E3" s="10"/>
      <c r="F3" s="26" t="s">
        <v>162</v>
      </c>
      <c r="G3" s="4"/>
    </row>
    <row r="4" spans="2:7" ht="55.5" customHeight="1">
      <c r="B4" s="4"/>
      <c r="C4" s="128" t="s">
        <v>166</v>
      </c>
      <c r="D4" s="128"/>
      <c r="E4" s="128"/>
      <c r="F4" s="128"/>
      <c r="G4" s="4"/>
    </row>
    <row r="5" spans="2:7">
      <c r="B5" s="4"/>
      <c r="C5" s="58"/>
      <c r="D5" s="10"/>
      <c r="E5" s="10"/>
      <c r="F5" s="10"/>
      <c r="G5" s="4"/>
    </row>
    <row r="6" spans="2:7" ht="31.5">
      <c r="B6" s="4"/>
      <c r="C6" s="55" t="s">
        <v>33</v>
      </c>
      <c r="D6" s="55" t="s">
        <v>3</v>
      </c>
      <c r="E6" s="55" t="s">
        <v>21</v>
      </c>
      <c r="F6" s="55" t="s">
        <v>34</v>
      </c>
      <c r="G6" s="4"/>
    </row>
    <row r="7" spans="2:7" ht="37.5">
      <c r="B7" s="4"/>
      <c r="C7" s="12" t="s">
        <v>35</v>
      </c>
      <c r="D7" s="59" t="s">
        <v>125</v>
      </c>
      <c r="E7" s="29" t="s">
        <v>37</v>
      </c>
      <c r="F7" s="29" t="s">
        <v>256</v>
      </c>
      <c r="G7" s="4"/>
    </row>
    <row r="8" spans="2:7" ht="48" customHeight="1">
      <c r="B8" s="4"/>
      <c r="C8" s="12" t="s">
        <v>40</v>
      </c>
      <c r="D8" s="59" t="s">
        <v>41</v>
      </c>
      <c r="E8" s="29" t="s">
        <v>42</v>
      </c>
      <c r="F8" s="29" t="s">
        <v>257</v>
      </c>
      <c r="G8" s="4"/>
    </row>
    <row r="9" spans="2:7" ht="63">
      <c r="B9" s="4"/>
      <c r="C9" s="12" t="s">
        <v>131</v>
      </c>
      <c r="D9" s="29" t="s">
        <v>132</v>
      </c>
      <c r="E9" s="29" t="s">
        <v>133</v>
      </c>
      <c r="F9" s="29" t="s">
        <v>258</v>
      </c>
      <c r="G9" s="4"/>
    </row>
    <row r="10" spans="2:7" ht="63">
      <c r="B10" s="4"/>
      <c r="C10" s="12" t="s">
        <v>167</v>
      </c>
      <c r="D10" s="29" t="s">
        <v>168</v>
      </c>
      <c r="E10" s="29" t="s">
        <v>169</v>
      </c>
      <c r="F10" s="29" t="s">
        <v>259</v>
      </c>
      <c r="G10" s="4"/>
    </row>
    <row r="11" spans="2:7" ht="37.5">
      <c r="B11" s="4"/>
      <c r="C11" s="12" t="s">
        <v>170</v>
      </c>
      <c r="D11" s="29" t="s">
        <v>171</v>
      </c>
      <c r="E11" s="29" t="s">
        <v>172</v>
      </c>
      <c r="F11" s="29" t="s">
        <v>173</v>
      </c>
      <c r="G11" s="4"/>
    </row>
    <row r="12" spans="2:7" ht="6" customHeight="1">
      <c r="B12" s="4"/>
      <c r="C12" s="4"/>
      <c r="D12" s="4"/>
      <c r="E12" s="4"/>
      <c r="F12" s="4"/>
      <c r="G12" s="4"/>
    </row>
  </sheetData>
  <mergeCells count="1">
    <mergeCell ref="C4:F4"/>
  </mergeCells>
  <pageMargins left="0.39370078740157483" right="0.39370078740157483" top="0.39370078740157483" bottom="0.39370078740157483" header="0.35433070866141736" footer="0.35433070866141736"/>
  <pageSetup paperSize="9" orientation="portrait" blackAndWhite="1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sheetPr codeName="Лист27"/>
  <dimension ref="B1:L13"/>
  <sheetViews>
    <sheetView showGridLines="0" zoomScaleSheetLayoutView="100" workbookViewId="0">
      <pane ySplit="7" topLeftCell="A8" activePane="bottomLeft" state="frozen"/>
      <selection activeCell="G10" sqref="G10:I10"/>
      <selection pane="bottomLeft"/>
    </sheetView>
  </sheetViews>
  <sheetFormatPr defaultRowHeight="15.75"/>
  <cols>
    <col min="1" max="2" width="0.85546875" style="45" customWidth="1"/>
    <col min="3" max="3" width="28.28515625" style="45" customWidth="1"/>
    <col min="4" max="4" width="9.28515625" style="45" customWidth="1"/>
    <col min="5" max="5" width="9.140625" style="45" customWidth="1"/>
    <col min="6" max="6" width="34" style="45" customWidth="1"/>
    <col min="7" max="7" width="9.140625" style="45"/>
    <col min="8" max="8" width="0.85546875" style="45" customWidth="1"/>
    <col min="9" max="10" width="9.140625" style="45"/>
    <col min="11" max="11" width="14.5703125" style="45" bestFit="1" customWidth="1"/>
    <col min="12" max="12" width="47.42578125" style="45" customWidth="1"/>
    <col min="13" max="16384" width="9.140625" style="45"/>
  </cols>
  <sheetData>
    <row r="1" spans="2:12" ht="6" customHeight="1"/>
    <row r="2" spans="2:12" ht="6" customHeight="1">
      <c r="B2" s="4"/>
      <c r="C2" s="4"/>
      <c r="D2" s="4"/>
      <c r="E2" s="4"/>
      <c r="F2" s="4"/>
      <c r="G2" s="4"/>
      <c r="H2" s="4"/>
    </row>
    <row r="3" spans="2:12">
      <c r="B3" s="4"/>
      <c r="C3" s="4"/>
      <c r="D3" s="4"/>
      <c r="E3" s="4"/>
      <c r="F3" s="129" t="s">
        <v>165</v>
      </c>
      <c r="G3" s="129"/>
      <c r="H3" s="4"/>
    </row>
    <row r="4" spans="2:12" ht="78" customHeight="1">
      <c r="B4" s="4"/>
      <c r="C4" s="107" t="s">
        <v>305</v>
      </c>
      <c r="D4" s="107"/>
      <c r="E4" s="107"/>
      <c r="F4" s="107"/>
      <c r="G4" s="107"/>
      <c r="H4" s="62"/>
      <c r="I4" s="61"/>
      <c r="J4" s="61"/>
      <c r="K4" s="61"/>
      <c r="L4" s="61"/>
    </row>
    <row r="5" spans="2:12">
      <c r="B5" s="4"/>
      <c r="C5" s="4"/>
      <c r="D5" s="4"/>
      <c r="E5" s="4"/>
      <c r="F5" s="4"/>
      <c r="G5" s="66"/>
      <c r="H5" s="4"/>
    </row>
    <row r="6" spans="2:12" ht="31.5" customHeight="1">
      <c r="B6" s="4"/>
      <c r="C6" s="130" t="s">
        <v>33</v>
      </c>
      <c r="D6" s="130" t="s">
        <v>20</v>
      </c>
      <c r="E6" s="130" t="s">
        <v>247</v>
      </c>
      <c r="F6" s="130" t="s">
        <v>174</v>
      </c>
      <c r="G6" s="130"/>
      <c r="H6" s="4"/>
    </row>
    <row r="7" spans="2:12" ht="18.75">
      <c r="B7" s="4"/>
      <c r="C7" s="130"/>
      <c r="D7" s="130"/>
      <c r="E7" s="130"/>
      <c r="F7" s="67" t="s">
        <v>260</v>
      </c>
      <c r="G7" s="67" t="s">
        <v>175</v>
      </c>
      <c r="H7" s="4"/>
    </row>
    <row r="8" spans="2:12" ht="63">
      <c r="B8" s="4"/>
      <c r="C8" s="63" t="s">
        <v>271</v>
      </c>
      <c r="D8" s="16">
        <f>'Таблица 2'!D8</f>
        <v>404</v>
      </c>
      <c r="E8" s="16">
        <f>'Таблица 2'!F8</f>
        <v>458</v>
      </c>
      <c r="F8" s="33" t="str">
        <f>CONCATENATE("(",$E$8," * ","(",$D$9," - ",$D$10,")"," / ",100," - ",$D$11,")"," / ",$E$8," * ",100," - ","(",$D$8," * ","(",$D$9," - ",$D$10,")"," / ",100," - ",$D$11,")"," / ",$D$8," * ",100)</f>
        <v>(458 * (32,4257425742574 - 5,94) / 100 - 102,8) / 458 * 100 - (404 * (32,4257425742574 - 5,94) / 100 - 102,8) / 404 * 100</v>
      </c>
      <c r="G8" s="17">
        <f>вычислить.g16.8</f>
        <v>3.0001297072938709</v>
      </c>
      <c r="H8" s="4"/>
    </row>
    <row r="9" spans="2:12" ht="63">
      <c r="B9" s="4"/>
      <c r="C9" s="63" t="s">
        <v>272</v>
      </c>
      <c r="D9" s="36">
        <f>'Таблица 2'!D12</f>
        <v>32.425742574257427</v>
      </c>
      <c r="E9" s="36">
        <f>'Таблица 2'!F12</f>
        <v>32.532751091703055</v>
      </c>
      <c r="F9" s="33" t="str">
        <f>CONCATENATE("(",$E$8," * ","(",$E$9," - ",$D$10,")"," / ",100," - ",$D$11,")"," / ",$E$8," * ",100," - ","(",$E$8," * ","(",$D$9," - ",$D$10,")"," / ",100," - ",$D$11,")"," / ",$E$8," * ",100)</f>
        <v>(458 * (32,5327510917031 - 5,94) / 100 - 102,8) / 458 * 100 - (458 * (32,4257425742574 - 5,94) / 100 - 102,8) / 458 * 100</v>
      </c>
      <c r="G9" s="17">
        <f>вычислить.g16.9</f>
        <v>0.10700851744569917</v>
      </c>
      <c r="H9" s="64"/>
    </row>
    <row r="10" spans="2:12" ht="66">
      <c r="B10" s="4"/>
      <c r="C10" s="63" t="s">
        <v>273</v>
      </c>
      <c r="D10" s="36">
        <f>'Таблица 12'!D10</f>
        <v>5.94</v>
      </c>
      <c r="E10" s="36">
        <f>'Таблица 12'!E10</f>
        <v>5.41</v>
      </c>
      <c r="F10" s="33" t="str">
        <f>CONCATENATE("(",$E$8," * ","(",$E$9," - ",$E$10,")"," / ",100," - ",$D$11,")"," / ",$E$8," * ",100," - ","(",$E$8," * ","(",$E$9," - ",$D$10,")"," / ",100," - ",$D$11,")"," / ",$E$8," * ",100)</f>
        <v>(458 * (32,5327510917031 - 5,41) / 100 - 102,8) / 458 * 100 - (458 * (32,5327510917031 - 5,94) / 100 - 102,8) / 458 * 100</v>
      </c>
      <c r="G10" s="17">
        <f>вычислить.g16.10</f>
        <v>0.5300000000000038</v>
      </c>
      <c r="H10" s="64"/>
    </row>
    <row r="11" spans="2:12" ht="66">
      <c r="B11" s="4"/>
      <c r="C11" s="63" t="s">
        <v>274</v>
      </c>
      <c r="D11" s="36">
        <f>'Таблица 12'!D9</f>
        <v>102.8</v>
      </c>
      <c r="E11" s="36">
        <f>'Таблица 12'!E9</f>
        <v>105.2</v>
      </c>
      <c r="F11" s="33" t="str">
        <f>CONCATENATE("(",$E$8," * ","(",$E$9," - ",$E$10,")"," / ",100," - ",$E$11,")"," / ",$E$8," * ",100," - ","(",$E$8," * ","(",$E$9," - ",$E$10,")"," / ",100," - ",$D$11,")"," / ",$E$8," * ",100)</f>
        <v>(458 * (32,5327510917031 - 5,41) / 100 - 105,2) / 458 * 100 - (458 * (32,5327510917031 - 5,41) / 100 - 102,8) / 458 * 100</v>
      </c>
      <c r="G11" s="17">
        <f>вычислить.g16.11</f>
        <v>-0.52401746724890952</v>
      </c>
      <c r="H11" s="64"/>
    </row>
    <row r="12" spans="2:12" ht="66.75" customHeight="1">
      <c r="B12" s="4"/>
      <c r="C12" s="63" t="s">
        <v>261</v>
      </c>
      <c r="D12" s="65">
        <f>'Таблица 14'!D13</f>
        <v>1.0401980198019796</v>
      </c>
      <c r="E12" s="65">
        <f>'Таблица 14'!E13</f>
        <v>4.153318777292573</v>
      </c>
      <c r="F12" s="17" t="str">
        <f>CONCATENATE("(",G8,")"," + ","(",G9,")"," + ","(",G10,")"," + ","(",G11,")")</f>
        <v>(3,00012970729387) + (0,107008517445699) + (0,530000000000004) + (-0,52401746724891)</v>
      </c>
      <c r="G12" s="17">
        <f>вычислить.G16.12</f>
        <v>3.113120757490663</v>
      </c>
      <c r="H12" s="4"/>
    </row>
    <row r="13" spans="2:12" ht="6.75" customHeight="1">
      <c r="B13" s="4"/>
      <c r="C13" s="4"/>
      <c r="D13" s="4"/>
      <c r="E13" s="4"/>
      <c r="F13" s="4"/>
      <c r="G13" s="4"/>
      <c r="H13" s="4"/>
    </row>
  </sheetData>
  <mergeCells count="6">
    <mergeCell ref="F3:G3"/>
    <mergeCell ref="C4:G4"/>
    <mergeCell ref="C6:C7"/>
    <mergeCell ref="D6:D7"/>
    <mergeCell ref="E6:E7"/>
    <mergeCell ref="F6:G6"/>
  </mergeCells>
  <pageMargins left="0.39370078740157483" right="0.39370078740157483" top="0.39370078740157483" bottom="0.39370078740157483" header="0.35433070866141736" footer="0.35433070866141736"/>
  <pageSetup paperSize="9" orientation="portrait" blackAndWhite="1" r:id="rId1"/>
  <headerFooter alignWithMargins="0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>
  <sheetPr codeName="Лист29"/>
  <dimension ref="B1:L16"/>
  <sheetViews>
    <sheetView showGridLines="0" zoomScaleSheetLayoutView="100" workbookViewId="0">
      <pane ySplit="6" topLeftCell="A7" activePane="bottomLeft" state="frozen"/>
      <selection pane="bottomLeft"/>
    </sheetView>
  </sheetViews>
  <sheetFormatPr defaultRowHeight="15.75"/>
  <cols>
    <col min="1" max="2" width="0.85546875" style="45" customWidth="1"/>
    <col min="3" max="5" width="15.7109375" style="45" customWidth="1"/>
    <col min="6" max="6" width="17.7109375" style="45" customWidth="1"/>
    <col min="7" max="7" width="15.7109375" style="45" customWidth="1"/>
    <col min="8" max="8" width="11.5703125" style="45" customWidth="1"/>
    <col min="9" max="9" width="1" style="45" customWidth="1"/>
    <col min="10" max="16384" width="9.140625" style="45"/>
  </cols>
  <sheetData>
    <row r="1" spans="2:12" ht="6" customHeight="1"/>
    <row r="2" spans="2:12" ht="6" customHeight="1">
      <c r="B2" s="4"/>
      <c r="C2" s="4"/>
      <c r="D2" s="4"/>
      <c r="E2" s="4"/>
      <c r="F2" s="4"/>
      <c r="G2" s="4"/>
      <c r="H2" s="4"/>
      <c r="I2" s="4"/>
    </row>
    <row r="3" spans="2:12">
      <c r="B3" s="4"/>
      <c r="C3" s="4"/>
      <c r="D3" s="34"/>
      <c r="E3" s="34"/>
      <c r="F3" s="34"/>
      <c r="G3" s="132" t="s">
        <v>262</v>
      </c>
      <c r="H3" s="132"/>
      <c r="I3" s="4"/>
    </row>
    <row r="4" spans="2:12" ht="38.25" customHeight="1">
      <c r="B4" s="4"/>
      <c r="C4" s="107" t="s">
        <v>306</v>
      </c>
      <c r="D4" s="107"/>
      <c r="E4" s="107"/>
      <c r="F4" s="107"/>
      <c r="G4" s="107"/>
      <c r="H4" s="107"/>
      <c r="I4" s="52"/>
      <c r="J4" s="51"/>
      <c r="K4" s="51"/>
      <c r="L4" s="51"/>
    </row>
    <row r="5" spans="2:12">
      <c r="B5" s="4"/>
      <c r="C5" s="70"/>
      <c r="D5" s="34"/>
      <c r="E5" s="34"/>
      <c r="F5" s="34"/>
      <c r="G5" s="34"/>
      <c r="H5" s="4"/>
      <c r="I5" s="4"/>
    </row>
    <row r="6" spans="2:12" ht="51" customHeight="1">
      <c r="B6" s="4"/>
      <c r="C6" s="57" t="s">
        <v>178</v>
      </c>
      <c r="D6" s="57" t="s">
        <v>179</v>
      </c>
      <c r="E6" s="57" t="s">
        <v>180</v>
      </c>
      <c r="F6" s="60" t="s">
        <v>270</v>
      </c>
      <c r="G6" s="111" t="s">
        <v>263</v>
      </c>
      <c r="H6" s="111"/>
      <c r="I6" s="4"/>
    </row>
    <row r="7" spans="2:12" ht="31.5">
      <c r="B7" s="4"/>
      <c r="C7" s="105" t="s">
        <v>307</v>
      </c>
      <c r="D7" s="20">
        <v>204.58</v>
      </c>
      <c r="E7" s="20">
        <v>0.57999999999999996</v>
      </c>
      <c r="F7" s="17">
        <f>E7/D7*100</f>
        <v>0.28350767425945839</v>
      </c>
      <c r="G7" s="133" t="s">
        <v>181</v>
      </c>
      <c r="H7" s="133"/>
      <c r="I7" s="4"/>
    </row>
    <row r="8" spans="2:12" ht="31.5">
      <c r="B8" s="4"/>
      <c r="C8" s="105" t="s">
        <v>308</v>
      </c>
      <c r="D8" s="33">
        <f>'Таблица 12'!D8-'Таблица 17'!D7</f>
        <v>199.42</v>
      </c>
      <c r="E8" s="33">
        <f>'Таблица 12'!D12-'Таблица 17'!E7</f>
        <v>3.6223999999999972</v>
      </c>
      <c r="F8" s="17">
        <f>E8/D8*100</f>
        <v>1.816467756493831</v>
      </c>
      <c r="G8" s="136">
        <f>(F8+F7)/2</f>
        <v>1.0499877153766446</v>
      </c>
      <c r="H8" s="136"/>
      <c r="I8" s="4"/>
    </row>
    <row r="9" spans="2:12" ht="31.5">
      <c r="B9" s="4"/>
      <c r="C9" s="105" t="s">
        <v>309</v>
      </c>
      <c r="D9" s="20">
        <v>209.2</v>
      </c>
      <c r="E9" s="20">
        <v>3.53</v>
      </c>
      <c r="F9" s="17">
        <f>E9/D9*100</f>
        <v>1.6873804971319313</v>
      </c>
      <c r="G9" s="136">
        <f>(F9+F8)/2</f>
        <v>1.7519241268128811</v>
      </c>
      <c r="H9" s="136"/>
      <c r="I9" s="4"/>
    </row>
    <row r="10" spans="2:12" ht="31.5">
      <c r="B10" s="4"/>
      <c r="C10" s="105" t="s">
        <v>310</v>
      </c>
      <c r="D10" s="33">
        <f>'Таблица 12'!E8-'Таблица 17'!D9</f>
        <v>248.8</v>
      </c>
      <c r="E10" s="33">
        <f>'Таблица 12'!E12-'Таблица 17'!E9</f>
        <v>15.492199999999984</v>
      </c>
      <c r="F10" s="17">
        <f>E10/D10*100</f>
        <v>6.2267684887459742</v>
      </c>
      <c r="G10" s="136">
        <f>(F10+F9)/2</f>
        <v>3.9570744929389527</v>
      </c>
      <c r="H10" s="136"/>
      <c r="I10" s="4"/>
    </row>
    <row r="11" spans="2:12">
      <c r="B11" s="4"/>
      <c r="C11" s="4"/>
      <c r="D11" s="71"/>
      <c r="E11" s="71"/>
      <c r="F11" s="10"/>
      <c r="G11" s="4"/>
      <c r="H11" s="4"/>
      <c r="I11" s="4"/>
    </row>
    <row r="12" spans="2:12" ht="30.75" customHeight="1">
      <c r="B12" s="4"/>
      <c r="C12" s="135" t="s">
        <v>264</v>
      </c>
      <c r="D12" s="135"/>
      <c r="E12" s="135"/>
      <c r="F12" s="135"/>
      <c r="G12" s="135"/>
      <c r="H12" s="72">
        <f>COUNT(G8,G9,G10)</f>
        <v>3</v>
      </c>
      <c r="I12" s="72"/>
    </row>
    <row r="13" spans="2:12" ht="21.75" customHeight="1">
      <c r="B13" s="4"/>
      <c r="C13" s="134" t="s">
        <v>267</v>
      </c>
      <c r="D13" s="134"/>
      <c r="E13" s="134"/>
      <c r="F13" s="134"/>
      <c r="G13" s="134"/>
      <c r="H13" s="134"/>
      <c r="I13" s="4"/>
    </row>
    <row r="14" spans="2:12" ht="18.75">
      <c r="B14" s="4"/>
      <c r="C14" s="10" t="s">
        <v>265</v>
      </c>
      <c r="D14" s="131" t="str">
        <f>CONCATENATE("(",G10," - ",G8,")"," / ","(",H12," - ",1,")")</f>
        <v>(3,95707449293895 - 1,04998771537664) / (3 - 1)</v>
      </c>
      <c r="E14" s="131"/>
      <c r="F14" s="131"/>
      <c r="G14" s="73" t="s">
        <v>197</v>
      </c>
      <c r="H14" s="74">
        <f>вычислить.h17.16</f>
        <v>1.4535433887811551</v>
      </c>
      <c r="I14" s="4"/>
    </row>
    <row r="15" spans="2:12" ht="18.75" customHeight="1">
      <c r="B15" s="4"/>
      <c r="C15" s="10" t="s">
        <v>266</v>
      </c>
      <c r="D15" s="131" t="str">
        <f>CONCATENATE(G10," + ",H14)</f>
        <v>3,95707449293895 + 1,45354338878116</v>
      </c>
      <c r="E15" s="131"/>
      <c r="F15" s="131"/>
      <c r="G15" s="73" t="s">
        <v>197</v>
      </c>
      <c r="H15" s="74">
        <f>вычислить.h17.21</f>
        <v>5.4106178817201105</v>
      </c>
      <c r="I15" s="5"/>
    </row>
    <row r="16" spans="2:12" ht="6" customHeight="1">
      <c r="B16" s="4"/>
      <c r="C16" s="4"/>
      <c r="D16" s="4"/>
      <c r="E16" s="4"/>
      <c r="F16" s="4"/>
      <c r="G16" s="4"/>
      <c r="H16" s="4"/>
      <c r="I16" s="4"/>
    </row>
  </sheetData>
  <mergeCells count="11">
    <mergeCell ref="D14:F14"/>
    <mergeCell ref="D15:F15"/>
    <mergeCell ref="G3:H3"/>
    <mergeCell ref="C4:H4"/>
    <mergeCell ref="G6:H6"/>
    <mergeCell ref="G7:H7"/>
    <mergeCell ref="C13:H13"/>
    <mergeCell ref="C12:G12"/>
    <mergeCell ref="G8:H8"/>
    <mergeCell ref="G9:H9"/>
    <mergeCell ref="G10:H10"/>
  </mergeCells>
  <pageMargins left="0.39370078740157483" right="0.39370078740157483" top="0.39370078740157483" bottom="0.39370078740157483" header="0.35433070866141736" footer="0.35433070866141736"/>
  <pageSetup paperSize="9" orientation="portrait" blackAndWhite="1" r:id="rId1"/>
  <headerFooter alignWithMargins="0"/>
  <drawing r:id="rId2"/>
  <legacyDrawing r:id="rId3"/>
</worksheet>
</file>

<file path=xl/worksheets/sheet18.xml><?xml version="1.0" encoding="utf-8"?>
<worksheet xmlns="http://schemas.openxmlformats.org/spreadsheetml/2006/main" xmlns:r="http://schemas.openxmlformats.org/officeDocument/2006/relationships">
  <sheetPr codeName="Лист30"/>
  <dimension ref="A1:M41"/>
  <sheetViews>
    <sheetView showGridLines="0" zoomScaleSheetLayoutView="100" workbookViewId="0">
      <pane ySplit="6" topLeftCell="A7" activePane="bottomLeft" state="frozen"/>
      <selection activeCell="G10" sqref="G10:I10"/>
      <selection pane="bottomLeft"/>
    </sheetView>
  </sheetViews>
  <sheetFormatPr defaultRowHeight="15.75"/>
  <cols>
    <col min="1" max="2" width="0.85546875" style="45" customWidth="1"/>
    <col min="3" max="11" width="10.42578125" style="45" customWidth="1"/>
    <col min="12" max="12" width="0.85546875" style="45" customWidth="1"/>
    <col min="13" max="19" width="10.42578125" style="45" customWidth="1"/>
    <col min="20" max="16384" width="9.140625" style="45"/>
  </cols>
  <sheetData>
    <row r="1" spans="1:12" ht="6" customHeight="1">
      <c r="A1" s="96"/>
      <c r="B1" s="96"/>
      <c r="C1" s="96"/>
      <c r="D1" s="96"/>
      <c r="E1" s="96"/>
    </row>
    <row r="2" spans="1:12" ht="6.75" customHeight="1"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pans="1:12">
      <c r="B3" s="4"/>
      <c r="C3" s="4"/>
      <c r="D3" s="34"/>
      <c r="E3" s="4"/>
      <c r="F3" s="4"/>
      <c r="G3" s="4"/>
      <c r="H3" s="4"/>
      <c r="I3" s="4"/>
      <c r="J3" s="4"/>
      <c r="K3" s="69" t="s">
        <v>176</v>
      </c>
      <c r="L3" s="4"/>
    </row>
    <row r="4" spans="1:12" ht="36.75" customHeight="1">
      <c r="B4" s="4"/>
      <c r="C4" s="107" t="s">
        <v>183</v>
      </c>
      <c r="D4" s="107"/>
      <c r="E4" s="107"/>
      <c r="F4" s="107"/>
      <c r="G4" s="107"/>
      <c r="H4" s="107"/>
      <c r="I4" s="107"/>
      <c r="J4" s="107"/>
      <c r="K4" s="107"/>
      <c r="L4" s="52"/>
    </row>
    <row r="5" spans="1:12">
      <c r="B5" s="4"/>
      <c r="C5" s="4"/>
      <c r="D5" s="34"/>
      <c r="E5" s="4"/>
      <c r="F5" s="4"/>
      <c r="G5" s="4"/>
      <c r="H5" s="4"/>
      <c r="I5" s="4"/>
      <c r="J5" s="4"/>
      <c r="K5" s="31" t="s">
        <v>18</v>
      </c>
      <c r="L5" s="4"/>
    </row>
    <row r="6" spans="1:12" ht="30.75" customHeight="1">
      <c r="B6" s="4"/>
      <c r="C6" s="111" t="s">
        <v>184</v>
      </c>
      <c r="D6" s="111"/>
      <c r="E6" s="111"/>
      <c r="F6" s="111" t="s">
        <v>185</v>
      </c>
      <c r="G6" s="111"/>
      <c r="H6" s="111"/>
      <c r="I6" s="111" t="s">
        <v>186</v>
      </c>
      <c r="J6" s="111"/>
      <c r="K6" s="111"/>
      <c r="L6" s="4"/>
    </row>
    <row r="7" spans="1:12">
      <c r="B7" s="4"/>
      <c r="C7" s="137" t="s">
        <v>307</v>
      </c>
      <c r="D7" s="137"/>
      <c r="E7" s="137"/>
      <c r="F7" s="138">
        <f>'Таблица 17'!E7</f>
        <v>0.57999999999999996</v>
      </c>
      <c r="G7" s="138"/>
      <c r="H7" s="138"/>
      <c r="I7" s="139" t="s">
        <v>187</v>
      </c>
      <c r="J7" s="139"/>
      <c r="K7" s="139"/>
      <c r="L7" s="4"/>
    </row>
    <row r="8" spans="1:12">
      <c r="B8" s="4"/>
      <c r="C8" s="140" t="s">
        <v>308</v>
      </c>
      <c r="D8" s="140"/>
      <c r="E8" s="140"/>
      <c r="F8" s="138">
        <f>'Таблица 17'!E8</f>
        <v>3.6223999999999972</v>
      </c>
      <c r="G8" s="138"/>
      <c r="H8" s="138"/>
      <c r="I8" s="139" t="s">
        <v>188</v>
      </c>
      <c r="J8" s="139"/>
      <c r="K8" s="139"/>
      <c r="L8" s="4"/>
    </row>
    <row r="9" spans="1:12">
      <c r="B9" s="4"/>
      <c r="C9" s="137" t="s">
        <v>309</v>
      </c>
      <c r="D9" s="137"/>
      <c r="E9" s="137"/>
      <c r="F9" s="138">
        <f>'Таблица 17'!E9</f>
        <v>3.53</v>
      </c>
      <c r="G9" s="138"/>
      <c r="H9" s="138"/>
      <c r="I9" s="139" t="s">
        <v>189</v>
      </c>
      <c r="J9" s="139"/>
      <c r="K9" s="139"/>
      <c r="L9" s="4"/>
    </row>
    <row r="10" spans="1:12">
      <c r="B10" s="4"/>
      <c r="C10" s="137" t="s">
        <v>310</v>
      </c>
      <c r="D10" s="137"/>
      <c r="E10" s="137"/>
      <c r="F10" s="138">
        <f>'Таблица 17'!E10</f>
        <v>15.492199999999984</v>
      </c>
      <c r="G10" s="138"/>
      <c r="H10" s="138"/>
      <c r="I10" s="139" t="s">
        <v>190</v>
      </c>
      <c r="J10" s="139"/>
      <c r="K10" s="139"/>
      <c r="L10" s="4"/>
    </row>
    <row r="11" spans="1:12"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</row>
    <row r="12" spans="1:12"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</row>
    <row r="13" spans="1:12" s="46" customFormat="1" ht="18.75">
      <c r="B13" s="10"/>
      <c r="C13" s="141" t="s">
        <v>191</v>
      </c>
      <c r="D13" s="141"/>
      <c r="E13" s="82">
        <f>F7</f>
        <v>0.57999999999999996</v>
      </c>
      <c r="F13" s="83" t="s">
        <v>192</v>
      </c>
      <c r="G13" s="10"/>
      <c r="H13" s="10"/>
      <c r="I13" s="10"/>
      <c r="J13" s="10"/>
      <c r="K13" s="10"/>
      <c r="L13" s="10"/>
    </row>
    <row r="14" spans="1:12" s="46" customFormat="1" ht="18.75">
      <c r="B14" s="10"/>
      <c r="C14" s="141" t="s">
        <v>193</v>
      </c>
      <c r="D14" s="141"/>
      <c r="E14" s="82">
        <f>F10</f>
        <v>15.492199999999984</v>
      </c>
      <c r="F14" s="83" t="s">
        <v>194</v>
      </c>
      <c r="G14" s="10"/>
      <c r="H14" s="10"/>
      <c r="I14" s="10"/>
      <c r="J14" s="10"/>
      <c r="K14" s="10"/>
      <c r="L14" s="10"/>
    </row>
    <row r="15" spans="1:12" s="46" customFormat="1"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</row>
    <row r="16" spans="1:12" s="46" customFormat="1" ht="15.75" customHeight="1">
      <c r="B16" s="10"/>
      <c r="C16" s="134" t="s">
        <v>268</v>
      </c>
      <c r="D16" s="134"/>
      <c r="E16" s="134"/>
      <c r="F16" s="134"/>
      <c r="G16" s="134"/>
      <c r="H16" s="134"/>
      <c r="I16" s="94">
        <v>-4</v>
      </c>
      <c r="J16" s="134" t="s">
        <v>195</v>
      </c>
      <c r="K16" s="134"/>
      <c r="L16" s="10"/>
    </row>
    <row r="17" spans="2:13" s="46" customFormat="1">
      <c r="B17" s="10"/>
      <c r="C17" s="142" t="s">
        <v>196</v>
      </c>
      <c r="D17" s="142"/>
      <c r="E17" s="142"/>
      <c r="F17" s="10"/>
      <c r="G17" s="10"/>
      <c r="H17" s="10"/>
      <c r="I17" s="10"/>
      <c r="J17" s="10"/>
      <c r="K17" s="10"/>
      <c r="L17" s="10"/>
    </row>
    <row r="18" spans="2:13" s="46" customFormat="1"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</row>
    <row r="19" spans="2:13" s="46" customFormat="1">
      <c r="B19" s="10"/>
      <c r="C19" s="27"/>
      <c r="D19" s="85">
        <f>E13*I16</f>
        <v>-2.3199999999999998</v>
      </c>
      <c r="E19" s="86" t="s">
        <v>197</v>
      </c>
      <c r="F19" s="87">
        <f>I16</f>
        <v>-4</v>
      </c>
      <c r="G19" s="58" t="s">
        <v>198</v>
      </c>
      <c r="H19" s="87">
        <f>I16</f>
        <v>-4</v>
      </c>
      <c r="I19" s="10" t="s">
        <v>199</v>
      </c>
      <c r="J19" s="10"/>
      <c r="K19" s="10"/>
      <c r="L19" s="10"/>
      <c r="M19" s="81"/>
    </row>
    <row r="20" spans="2:13" s="46" customFormat="1">
      <c r="B20" s="10"/>
      <c r="C20" s="27"/>
      <c r="D20" s="85">
        <f>E14</f>
        <v>15.492199999999984</v>
      </c>
      <c r="E20" s="86" t="s">
        <v>197</v>
      </c>
      <c r="F20" s="92">
        <f>4</f>
        <v>4</v>
      </c>
      <c r="G20" s="58" t="s">
        <v>200</v>
      </c>
      <c r="H20" s="93">
        <f>1</f>
        <v>1</v>
      </c>
      <c r="I20" s="10" t="s">
        <v>199</v>
      </c>
      <c r="J20" s="10"/>
      <c r="K20" s="10"/>
      <c r="L20" s="10"/>
      <c r="M20" s="81"/>
    </row>
    <row r="21" spans="2:13" s="46" customFormat="1">
      <c r="B21" s="10"/>
      <c r="C21" s="27"/>
      <c r="D21" s="10"/>
      <c r="E21" s="10"/>
      <c r="F21" s="10"/>
      <c r="G21" s="10"/>
      <c r="H21" s="10"/>
      <c r="I21" s="10"/>
      <c r="J21" s="10"/>
      <c r="K21" s="10"/>
      <c r="L21" s="10"/>
    </row>
    <row r="22" spans="2:13" s="46" customFormat="1">
      <c r="B22" s="10"/>
      <c r="C22" s="134" t="s">
        <v>201</v>
      </c>
      <c r="D22" s="134"/>
      <c r="E22" s="134"/>
      <c r="F22" s="134"/>
      <c r="G22" s="134"/>
      <c r="H22" s="134"/>
      <c r="I22" s="134"/>
      <c r="J22" s="134"/>
      <c r="K22" s="134"/>
      <c r="L22" s="10"/>
    </row>
    <row r="23" spans="2:13" s="46" customFormat="1">
      <c r="B23" s="10"/>
      <c r="C23" s="10"/>
      <c r="D23" s="85">
        <f>D20+D19</f>
        <v>13.172199999999984</v>
      </c>
      <c r="E23" s="86" t="s">
        <v>202</v>
      </c>
      <c r="F23" s="87">
        <f>F20+F19</f>
        <v>0</v>
      </c>
      <c r="G23" s="88">
        <f>H19+H20</f>
        <v>-3</v>
      </c>
      <c r="H23" s="10" t="s">
        <v>199</v>
      </c>
      <c r="I23" s="10"/>
      <c r="J23" s="10"/>
      <c r="K23" s="10"/>
      <c r="L23" s="10"/>
    </row>
    <row r="24" spans="2:13" s="46" customFormat="1">
      <c r="B24" s="10"/>
      <c r="C24" s="10"/>
      <c r="D24" s="58" t="s">
        <v>199</v>
      </c>
      <c r="E24" s="86" t="s">
        <v>202</v>
      </c>
      <c r="F24" s="89">
        <f>D23/G23</f>
        <v>-4.390733333333328</v>
      </c>
      <c r="G24" s="10"/>
      <c r="H24" s="10"/>
      <c r="I24" s="10"/>
      <c r="J24" s="10"/>
      <c r="K24" s="10"/>
      <c r="L24" s="10"/>
    </row>
    <row r="25" spans="2:13">
      <c r="B25" s="4"/>
      <c r="C25" s="4"/>
      <c r="D25" s="58" t="s">
        <v>203</v>
      </c>
      <c r="E25" s="86" t="s">
        <v>202</v>
      </c>
      <c r="F25" s="89">
        <f>E13-F24</f>
        <v>4.9707333333333281</v>
      </c>
      <c r="G25" s="4"/>
      <c r="H25" s="64"/>
      <c r="I25" s="4"/>
      <c r="J25" s="4"/>
      <c r="K25" s="4"/>
      <c r="L25" s="4"/>
    </row>
    <row r="26" spans="2:13" ht="19.5" customHeight="1">
      <c r="B26" s="4"/>
      <c r="C26" s="143" t="s">
        <v>269</v>
      </c>
      <c r="D26" s="143"/>
      <c r="E26" s="143"/>
      <c r="F26" s="143"/>
      <c r="G26" s="143"/>
      <c r="H26" s="143"/>
      <c r="I26" s="144"/>
      <c r="J26" s="144"/>
      <c r="K26" s="4"/>
      <c r="L26" s="4"/>
    </row>
    <row r="27" spans="2:13" ht="36" customHeight="1">
      <c r="B27" s="4"/>
      <c r="C27" s="134" t="s">
        <v>311</v>
      </c>
      <c r="D27" s="149"/>
      <c r="E27" s="149"/>
      <c r="F27" s="143"/>
      <c r="G27" s="143"/>
      <c r="H27" s="143"/>
      <c r="I27" s="4"/>
      <c r="J27" s="4"/>
      <c r="K27" s="4"/>
      <c r="L27" s="4"/>
    </row>
    <row r="28" spans="2:13">
      <c r="B28" s="4"/>
      <c r="C28" s="89">
        <f>F25</f>
        <v>4.9707333333333281</v>
      </c>
      <c r="D28" s="86" t="s">
        <v>181</v>
      </c>
      <c r="E28" s="94">
        <v>5</v>
      </c>
      <c r="F28" s="86" t="s">
        <v>182</v>
      </c>
      <c r="G28" s="89">
        <f>F24</f>
        <v>-4.390733333333328</v>
      </c>
      <c r="H28" s="95" t="s">
        <v>202</v>
      </c>
      <c r="I28" s="89">
        <f>C28*E28+G28</f>
        <v>20.462933333333311</v>
      </c>
      <c r="J28" s="10" t="s">
        <v>279</v>
      </c>
      <c r="K28" s="4"/>
      <c r="L28" s="4"/>
    </row>
    <row r="29" spans="2:13" ht="31.5" customHeight="1">
      <c r="B29" s="4"/>
      <c r="C29" s="134" t="s">
        <v>312</v>
      </c>
      <c r="D29" s="149"/>
      <c r="E29" s="149"/>
      <c r="F29" s="143"/>
      <c r="G29" s="143"/>
      <c r="H29" s="143"/>
      <c r="I29" s="4"/>
      <c r="J29" s="4"/>
      <c r="K29" s="4"/>
      <c r="L29" s="4"/>
    </row>
    <row r="30" spans="2:13">
      <c r="B30" s="4"/>
      <c r="C30" s="89">
        <f>F25</f>
        <v>4.9707333333333281</v>
      </c>
      <c r="D30" s="86" t="s">
        <v>181</v>
      </c>
      <c r="E30" s="84">
        <v>6</v>
      </c>
      <c r="F30" s="86" t="s">
        <v>182</v>
      </c>
      <c r="G30" s="89">
        <f>F24</f>
        <v>-4.390733333333328</v>
      </c>
      <c r="H30" s="95" t="s">
        <v>197</v>
      </c>
      <c r="I30" s="89">
        <f>C30*E30+G30</f>
        <v>25.433666666666639</v>
      </c>
      <c r="J30" s="10" t="s">
        <v>279</v>
      </c>
      <c r="K30" s="4"/>
      <c r="L30" s="4"/>
    </row>
    <row r="31" spans="2:13" ht="15.75" customHeight="1">
      <c r="B31" s="4"/>
      <c r="C31" s="143" t="s">
        <v>280</v>
      </c>
      <c r="D31" s="143"/>
      <c r="E31" s="143"/>
      <c r="F31" s="143"/>
      <c r="G31" s="143"/>
      <c r="H31" s="4"/>
      <c r="I31" s="4"/>
      <c r="J31" s="4"/>
      <c r="K31" s="4"/>
      <c r="L31" s="4"/>
    </row>
    <row r="32" spans="2:13">
      <c r="B32" s="4"/>
      <c r="C32" s="89">
        <f>I28</f>
        <v>20.462933333333311</v>
      </c>
      <c r="D32" s="86" t="s">
        <v>182</v>
      </c>
      <c r="E32" s="89">
        <f>I30</f>
        <v>25.433666666666639</v>
      </c>
      <c r="F32" s="95" t="s">
        <v>197</v>
      </c>
      <c r="G32" s="89">
        <f>C32+E32</f>
        <v>45.89659999999995</v>
      </c>
      <c r="H32" s="10" t="s">
        <v>279</v>
      </c>
      <c r="I32" s="4"/>
      <c r="J32" s="4"/>
      <c r="K32" s="4"/>
      <c r="L32" s="4"/>
    </row>
    <row r="33" spans="2:12">
      <c r="B33" s="4"/>
      <c r="C33" s="134" t="s">
        <v>276</v>
      </c>
      <c r="D33" s="134"/>
      <c r="E33" s="134"/>
      <c r="F33" s="134"/>
      <c r="G33" s="134"/>
      <c r="H33" s="134"/>
      <c r="I33" s="134"/>
      <c r="J33" s="134"/>
      <c r="K33" s="134"/>
      <c r="L33" s="4"/>
    </row>
    <row r="34" spans="2:12" ht="21" customHeight="1">
      <c r="B34" s="4"/>
      <c r="C34" s="135" t="s">
        <v>275</v>
      </c>
      <c r="D34" s="135"/>
      <c r="E34" s="135"/>
      <c r="F34" s="146" t="str">
        <f>CONCATENATE('Таблица 16'!E11," / ","(",'Таблица 16'!E9," / ",100," - ",'Таблица 16'!E10," / ",100,")")</f>
        <v>105,2 / (32,5327510917031 / 100 - 5,41 / 100)</v>
      </c>
      <c r="G34" s="146"/>
      <c r="H34" s="146"/>
      <c r="I34" s="146"/>
      <c r="J34" s="146"/>
      <c r="K34" s="90">
        <f>вычислить.К18.41</f>
        <v>387.86625901006357</v>
      </c>
      <c r="L34" s="4"/>
    </row>
    <row r="35" spans="2:12">
      <c r="B35" s="4"/>
      <c r="C35" s="134" t="s">
        <v>278</v>
      </c>
      <c r="D35" s="134"/>
      <c r="E35" s="134"/>
      <c r="F35" s="134"/>
      <c r="G35" s="134"/>
      <c r="H35" s="134"/>
      <c r="I35" s="134"/>
      <c r="J35" s="134"/>
      <c r="K35" s="134"/>
      <c r="L35" s="4"/>
    </row>
    <row r="36" spans="2:12" ht="18" customHeight="1">
      <c r="B36" s="4"/>
      <c r="C36" s="91" t="s">
        <v>277</v>
      </c>
      <c r="D36" s="4"/>
      <c r="E36" s="4"/>
      <c r="F36" s="4"/>
      <c r="G36" s="146" t="str">
        <f>CONCATENATE("(",'Таблица 16'!E8," - ",K34,")"," / ",'Таблица 16'!E8," * ",100)</f>
        <v>(458 - 387,866259010064) / 458 * 100</v>
      </c>
      <c r="H36" s="146"/>
      <c r="I36" s="146"/>
      <c r="J36" s="146"/>
      <c r="K36" s="68">
        <f>вычислить.К18.43</f>
        <v>15.313043884265495</v>
      </c>
      <c r="L36" s="4"/>
    </row>
    <row r="37" spans="2:12"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</row>
    <row r="38" spans="2:12" ht="33.75" customHeight="1">
      <c r="B38" s="4"/>
      <c r="C38" s="145" t="s">
        <v>283</v>
      </c>
      <c r="D38" s="145"/>
      <c r="E38" s="145"/>
      <c r="F38" s="145"/>
      <c r="G38" s="145"/>
      <c r="H38" s="145"/>
      <c r="I38" s="145"/>
      <c r="J38" s="145"/>
      <c r="K38" s="145"/>
      <c r="L38" s="4"/>
    </row>
    <row r="39" spans="2:12" ht="18">
      <c r="B39" s="4"/>
      <c r="C39" s="147" t="s">
        <v>284</v>
      </c>
      <c r="D39" s="147"/>
      <c r="E39" s="147"/>
      <c r="F39" s="147"/>
      <c r="G39" s="147"/>
      <c r="H39" s="4"/>
      <c r="I39" s="4"/>
      <c r="J39" s="4"/>
      <c r="K39" s="4"/>
      <c r="L39" s="4"/>
    </row>
    <row r="40" spans="2:12" ht="15.75" customHeight="1">
      <c r="B40" s="4"/>
      <c r="C40" s="146" t="str">
        <f>CONCATENATE("(",'Таблица 16'!$E$11," + ","(",'Таблица 16'!$E$8," * ",'Таблица 17'!$H$15," / ",100,")",")"," / ","(",'Таблица 16'!$E$9," / ",100," - ",'Таблица 16'!$E$10," / ",100,")")</f>
        <v>(105,2 + (458 * 5,41061788172011 / 100)) / (32,5327510917031 / 100 - 5,41 / 100)</v>
      </c>
      <c r="D40" s="146"/>
      <c r="E40" s="146"/>
      <c r="F40" s="146"/>
      <c r="G40" s="146"/>
      <c r="H40" s="146"/>
      <c r="I40" s="146"/>
      <c r="J40" s="146"/>
      <c r="K40" s="75">
        <f>вычислить.к18.40</f>
        <v>479.23099488989305</v>
      </c>
      <c r="L40" s="4"/>
    </row>
    <row r="41" spans="2:12" ht="6" customHeight="1"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</row>
  </sheetData>
  <mergeCells count="37">
    <mergeCell ref="C29:E29"/>
    <mergeCell ref="F29:H29"/>
    <mergeCell ref="C38:K38"/>
    <mergeCell ref="C40:J40"/>
    <mergeCell ref="C39:G39"/>
    <mergeCell ref="C31:D31"/>
    <mergeCell ref="E31:G31"/>
    <mergeCell ref="G36:J36"/>
    <mergeCell ref="C34:E34"/>
    <mergeCell ref="F34:J34"/>
    <mergeCell ref="C35:K35"/>
    <mergeCell ref="C17:E17"/>
    <mergeCell ref="C22:K22"/>
    <mergeCell ref="C26:J26"/>
    <mergeCell ref="C27:E27"/>
    <mergeCell ref="F27:H27"/>
    <mergeCell ref="I10:K10"/>
    <mergeCell ref="C13:D13"/>
    <mergeCell ref="C14:D14"/>
    <mergeCell ref="C16:H16"/>
    <mergeCell ref="J16:K16"/>
    <mergeCell ref="C4:K4"/>
    <mergeCell ref="C6:E6"/>
    <mergeCell ref="F6:H6"/>
    <mergeCell ref="I6:K6"/>
    <mergeCell ref="C33:K33"/>
    <mergeCell ref="C7:E7"/>
    <mergeCell ref="F7:H7"/>
    <mergeCell ref="I7:K7"/>
    <mergeCell ref="C8:E8"/>
    <mergeCell ref="F8:H8"/>
    <mergeCell ref="I8:K8"/>
    <mergeCell ref="C9:E9"/>
    <mergeCell ref="F9:H9"/>
    <mergeCell ref="I9:K9"/>
    <mergeCell ref="C10:E10"/>
    <mergeCell ref="F10:H10"/>
  </mergeCells>
  <pageMargins left="0.39370078740157483" right="0.39370078740157483" top="0.39370078740157483" bottom="0.39370078740157483" header="0.35433070866141736" footer="0.35433070866141736"/>
  <pageSetup paperSize="9" orientation="portrait" blackAndWhite="1" r:id="rId1"/>
  <headerFooter alignWithMargins="0"/>
  <drawing r:id="rId2"/>
  <legacyDrawing r:id="rId3"/>
</worksheet>
</file>

<file path=xl/worksheets/sheet19.xml><?xml version="1.0" encoding="utf-8"?>
<worksheet xmlns="http://schemas.openxmlformats.org/spreadsheetml/2006/main" xmlns:r="http://schemas.openxmlformats.org/officeDocument/2006/relationships">
  <sheetPr codeName="Лист31"/>
  <dimension ref="B1:L16"/>
  <sheetViews>
    <sheetView showGridLines="0" zoomScaleSheetLayoutView="100" workbookViewId="0">
      <pane ySplit="8" topLeftCell="A9" activePane="bottomLeft" state="frozen"/>
      <selection activeCell="G10" sqref="G10:I10"/>
      <selection pane="bottomLeft"/>
    </sheetView>
  </sheetViews>
  <sheetFormatPr defaultRowHeight="15.75"/>
  <cols>
    <col min="1" max="2" width="0.85546875" style="45" customWidth="1"/>
    <col min="3" max="3" width="21.7109375" style="45" customWidth="1"/>
    <col min="4" max="4" width="12.7109375" style="45" customWidth="1"/>
    <col min="5" max="5" width="13.42578125" style="45" customWidth="1"/>
    <col min="6" max="6" width="26.5703125" style="45" customWidth="1"/>
    <col min="7" max="7" width="11.85546875" style="45" customWidth="1"/>
    <col min="8" max="8" width="0.85546875" style="45" customWidth="1"/>
    <col min="9" max="9" width="11.85546875" style="45" bestFit="1" customWidth="1"/>
    <col min="10" max="10" width="13.5703125" style="45" bestFit="1" customWidth="1"/>
    <col min="11" max="16384" width="9.140625" style="45"/>
  </cols>
  <sheetData>
    <row r="1" spans="2:12" ht="6" customHeight="1"/>
    <row r="2" spans="2:12" ht="6" customHeight="1">
      <c r="B2" s="4"/>
      <c r="C2" s="4"/>
      <c r="D2" s="4"/>
      <c r="E2" s="4"/>
      <c r="F2" s="4"/>
      <c r="G2" s="4"/>
      <c r="H2" s="4"/>
    </row>
    <row r="3" spans="2:12">
      <c r="B3" s="4"/>
      <c r="C3" s="4"/>
      <c r="D3" s="34"/>
      <c r="E3" s="34"/>
      <c r="F3" s="4"/>
      <c r="G3" s="69" t="s">
        <v>177</v>
      </c>
      <c r="H3" s="4"/>
    </row>
    <row r="4" spans="2:12" ht="38.25" customHeight="1">
      <c r="B4" s="4"/>
      <c r="C4" s="106" t="s">
        <v>204</v>
      </c>
      <c r="D4" s="107"/>
      <c r="E4" s="107"/>
      <c r="F4" s="107"/>
      <c r="G4" s="107"/>
      <c r="H4" s="52"/>
      <c r="I4" s="51"/>
      <c r="J4" s="51"/>
      <c r="K4" s="51"/>
      <c r="L4" s="51"/>
    </row>
    <row r="5" spans="2:12">
      <c r="B5" s="4"/>
      <c r="C5" s="27"/>
      <c r="D5" s="34"/>
      <c r="E5" s="34"/>
      <c r="F5" s="34"/>
      <c r="G5" s="4"/>
      <c r="H5" s="4"/>
    </row>
    <row r="6" spans="2:12">
      <c r="B6" s="4"/>
      <c r="C6" s="111" t="s">
        <v>205</v>
      </c>
      <c r="D6" s="111" t="s">
        <v>206</v>
      </c>
      <c r="E6" s="111"/>
      <c r="F6" s="111" t="s">
        <v>207</v>
      </c>
      <c r="G6" s="148"/>
      <c r="H6" s="4"/>
    </row>
    <row r="7" spans="2:12" ht="31.5" customHeight="1">
      <c r="B7" s="4"/>
      <c r="C7" s="111"/>
      <c r="D7" s="111" t="s">
        <v>208</v>
      </c>
      <c r="E7" s="111" t="s">
        <v>209</v>
      </c>
      <c r="F7" s="111"/>
      <c r="G7" s="148"/>
      <c r="H7" s="4"/>
    </row>
    <row r="8" spans="2:12">
      <c r="B8" s="4"/>
      <c r="C8" s="148"/>
      <c r="D8" s="111"/>
      <c r="E8" s="111"/>
      <c r="F8" s="60" t="s">
        <v>210</v>
      </c>
      <c r="G8" s="60" t="s">
        <v>175</v>
      </c>
      <c r="H8" s="4"/>
    </row>
    <row r="9" spans="2:12">
      <c r="B9" s="4"/>
      <c r="C9" s="12" t="s">
        <v>211</v>
      </c>
      <c r="D9" s="101">
        <v>0.99</v>
      </c>
      <c r="E9" s="101">
        <v>1.69</v>
      </c>
      <c r="F9" s="33" t="str">
        <f>CONCATENATE(D9," * ",100," / ",E9)</f>
        <v>0,99 * 100 / 1,69</v>
      </c>
      <c r="G9" s="33">
        <f>вычислить.G19.9</f>
        <v>58.579881656804737</v>
      </c>
      <c r="H9" s="80"/>
      <c r="I9" s="96"/>
    </row>
    <row r="10" spans="2:12" ht="34.5" customHeight="1">
      <c r="B10" s="4"/>
      <c r="C10" s="12" t="s">
        <v>212</v>
      </c>
      <c r="D10" s="97">
        <f>'Таблица 14'!D13</f>
        <v>1.0401980198019796</v>
      </c>
      <c r="E10" s="97">
        <f>'Таблица 17'!F8</f>
        <v>1.816467756493831</v>
      </c>
      <c r="F10" s="33" t="str">
        <f>CONCATENATE(D10," * ",100," / ",E10)</f>
        <v>1,04019801980198 * 100 / 1,81646775649383</v>
      </c>
      <c r="G10" s="33">
        <f>вычислить.g19.10</f>
        <v>57.264876631214406</v>
      </c>
      <c r="H10" s="80"/>
    </row>
    <row r="11" spans="2:12">
      <c r="B11" s="4"/>
      <c r="C11" s="12" t="s">
        <v>213</v>
      </c>
      <c r="D11" s="97">
        <f>'Таблица 14'!E13</f>
        <v>4.153318777292573</v>
      </c>
      <c r="E11" s="97">
        <f>'Таблица 17'!F10</f>
        <v>6.2267684887459742</v>
      </c>
      <c r="F11" s="32" t="s">
        <v>54</v>
      </c>
      <c r="G11" s="32" t="s">
        <v>54</v>
      </c>
      <c r="H11" s="4"/>
    </row>
    <row r="12" spans="2:12">
      <c r="B12" s="4"/>
      <c r="C12" s="4"/>
      <c r="D12" s="4"/>
      <c r="E12" s="4"/>
      <c r="F12" s="4"/>
      <c r="G12" s="4"/>
      <c r="H12" s="4"/>
    </row>
    <row r="13" spans="2:12" ht="18.75" customHeight="1">
      <c r="B13" s="4"/>
      <c r="C13" s="134" t="s">
        <v>281</v>
      </c>
      <c r="D13" s="134"/>
      <c r="E13" s="134"/>
      <c r="F13" s="134"/>
      <c r="G13" s="134"/>
      <c r="H13" s="4"/>
    </row>
    <row r="14" spans="2:12" s="46" customFormat="1" ht="18.75">
      <c r="B14" s="10"/>
      <c r="C14" s="98" t="s">
        <v>282</v>
      </c>
      <c r="D14" s="99">
        <f>G9</f>
        <v>58.579881656804737</v>
      </c>
      <c r="E14" s="58" t="s">
        <v>182</v>
      </c>
      <c r="F14" s="99">
        <f>G10</f>
        <v>57.264876631214406</v>
      </c>
      <c r="G14" s="10" t="s">
        <v>214</v>
      </c>
      <c r="H14" s="10"/>
    </row>
    <row r="15" spans="2:12">
      <c r="B15" s="4"/>
      <c r="C15" s="4"/>
      <c r="D15" s="99">
        <f>E11</f>
        <v>6.2267684887459742</v>
      </c>
      <c r="E15" s="100" t="s">
        <v>215</v>
      </c>
      <c r="F15" s="99">
        <f>(D14+F14)/2*D15/100</f>
        <v>3.6066924524711577</v>
      </c>
      <c r="G15" s="4"/>
      <c r="H15" s="4"/>
    </row>
    <row r="16" spans="2:12" ht="6" customHeight="1">
      <c r="B16" s="4"/>
      <c r="C16" s="4"/>
      <c r="D16" s="4"/>
      <c r="E16" s="4"/>
      <c r="F16" s="4"/>
      <c r="G16" s="4"/>
      <c r="H16" s="4"/>
    </row>
  </sheetData>
  <mergeCells count="7">
    <mergeCell ref="C13:G13"/>
    <mergeCell ref="C4:G4"/>
    <mergeCell ref="C6:C8"/>
    <mergeCell ref="D6:E6"/>
    <mergeCell ref="F6:G7"/>
    <mergeCell ref="D7:D8"/>
    <mergeCell ref="E7:E8"/>
  </mergeCells>
  <pageMargins left="0.39370078740157483" right="0.39370078740157483" top="0.39370078740157483" bottom="0.39370078740157483" header="0.35433070866141736" footer="0.35433070866141736"/>
  <pageSetup paperSize="9" orientation="portrait" blackAndWhite="1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B1:K13"/>
  <sheetViews>
    <sheetView showGridLines="0" workbookViewId="0">
      <pane ySplit="7" topLeftCell="A8" activePane="bottomLeft" state="frozen"/>
      <selection pane="bottomLeft" activeCell="B1" sqref="B1"/>
    </sheetView>
  </sheetViews>
  <sheetFormatPr defaultRowHeight="12.75"/>
  <cols>
    <col min="1" max="2" width="0.85546875" style="7" customWidth="1"/>
    <col min="3" max="3" width="45.42578125" style="7" customWidth="1"/>
    <col min="4" max="10" width="12.7109375" style="7" customWidth="1"/>
    <col min="11" max="11" width="1.140625" style="7" customWidth="1"/>
    <col min="12" max="16384" width="9.140625" style="7"/>
  </cols>
  <sheetData>
    <row r="1" spans="2:11" ht="6" customHeight="1"/>
    <row r="2" spans="2:11" ht="6" customHeight="1">
      <c r="B2" s="9"/>
      <c r="C2" s="9"/>
      <c r="D2" s="9"/>
      <c r="E2" s="9"/>
      <c r="F2" s="9"/>
      <c r="G2" s="9"/>
      <c r="H2" s="9"/>
      <c r="I2" s="9"/>
      <c r="J2" s="9"/>
      <c r="K2" s="9"/>
    </row>
    <row r="3" spans="2:11" ht="15.75">
      <c r="B3" s="9"/>
      <c r="C3" s="10"/>
      <c r="D3" s="22"/>
      <c r="E3" s="10"/>
      <c r="F3" s="10"/>
      <c r="G3" s="10"/>
      <c r="H3" s="10"/>
      <c r="I3" s="10"/>
      <c r="J3" s="11" t="s">
        <v>16</v>
      </c>
      <c r="K3" s="9"/>
    </row>
    <row r="4" spans="2:11" ht="37.5" customHeight="1">
      <c r="B4" s="9"/>
      <c r="C4" s="107" t="s">
        <v>17</v>
      </c>
      <c r="D4" s="107"/>
      <c r="E4" s="107"/>
      <c r="F4" s="107"/>
      <c r="G4" s="107"/>
      <c r="H4" s="107"/>
      <c r="I4" s="107"/>
      <c r="J4" s="107"/>
      <c r="K4" s="9"/>
    </row>
    <row r="5" spans="2:11" ht="15.75">
      <c r="B5" s="9"/>
      <c r="C5" s="10"/>
      <c r="D5" s="10"/>
      <c r="E5" s="10"/>
      <c r="F5" s="10"/>
      <c r="G5" s="10"/>
      <c r="H5" s="10"/>
      <c r="I5" s="110" t="s">
        <v>18</v>
      </c>
      <c r="J5" s="110"/>
      <c r="K5" s="9"/>
    </row>
    <row r="6" spans="2:11" ht="15.75">
      <c r="B6" s="9"/>
      <c r="C6" s="111" t="s">
        <v>19</v>
      </c>
      <c r="D6" s="111" t="s">
        <v>3</v>
      </c>
      <c r="E6" s="111" t="s">
        <v>21</v>
      </c>
      <c r="F6" s="111"/>
      <c r="G6" s="111"/>
      <c r="H6" s="111" t="s">
        <v>22</v>
      </c>
      <c r="I6" s="111"/>
      <c r="J6" s="111" t="s">
        <v>229</v>
      </c>
      <c r="K6" s="9"/>
    </row>
    <row r="7" spans="2:11" ht="47.25">
      <c r="B7" s="9"/>
      <c r="C7" s="111"/>
      <c r="D7" s="111"/>
      <c r="E7" s="13" t="s">
        <v>24</v>
      </c>
      <c r="F7" s="13" t="s">
        <v>25</v>
      </c>
      <c r="G7" s="13" t="s">
        <v>232</v>
      </c>
      <c r="H7" s="13" t="s">
        <v>27</v>
      </c>
      <c r="I7" s="13" t="s">
        <v>231</v>
      </c>
      <c r="J7" s="111"/>
      <c r="K7" s="9"/>
    </row>
    <row r="8" spans="2:11" ht="15.75">
      <c r="B8" s="9"/>
      <c r="C8" s="12" t="s">
        <v>28</v>
      </c>
      <c r="D8" s="16">
        <f>'Таблица 1'!E8</f>
        <v>404</v>
      </c>
      <c r="E8" s="19">
        <v>427</v>
      </c>
      <c r="F8" s="16">
        <f>'Таблица 1'!F8</f>
        <v>458</v>
      </c>
      <c r="G8" s="17">
        <f>F8/E8*100</f>
        <v>107.25995316159252</v>
      </c>
      <c r="H8" s="23">
        <f>F8-E8</f>
        <v>31</v>
      </c>
      <c r="I8" s="23">
        <f>F8-D8</f>
        <v>54</v>
      </c>
      <c r="J8" s="17">
        <f>F8/D8*100</f>
        <v>113.36633663366335</v>
      </c>
      <c r="K8" s="9"/>
    </row>
    <row r="9" spans="2:11" ht="45">
      <c r="B9" s="9"/>
      <c r="C9" s="24" t="s">
        <v>287</v>
      </c>
      <c r="D9" s="16">
        <f>'Таблица 1'!E9</f>
        <v>273</v>
      </c>
      <c r="E9" s="19">
        <v>290</v>
      </c>
      <c r="F9" s="16">
        <f>'Таблица 1'!F9</f>
        <v>309</v>
      </c>
      <c r="G9" s="17">
        <f>F9/E9*100</f>
        <v>106.55172413793103</v>
      </c>
      <c r="H9" s="23">
        <f>F9-E9</f>
        <v>19</v>
      </c>
      <c r="I9" s="23">
        <f>F9-D9</f>
        <v>36</v>
      </c>
      <c r="J9" s="17">
        <f>F9/D9*100</f>
        <v>113.18681318681318</v>
      </c>
      <c r="K9" s="9"/>
    </row>
    <row r="10" spans="2:11" ht="15.75">
      <c r="B10" s="9"/>
      <c r="C10" s="24" t="s">
        <v>230</v>
      </c>
      <c r="D10" s="16">
        <f>D9/D8*100</f>
        <v>67.574257425742573</v>
      </c>
      <c r="E10" s="21">
        <f>E9/E8*100</f>
        <v>67.915690866510531</v>
      </c>
      <c r="F10" s="16">
        <f>F9/F8*100</f>
        <v>67.467248908296938</v>
      </c>
      <c r="G10" s="17">
        <f>F10/E10*100</f>
        <v>99.339707875319988</v>
      </c>
      <c r="H10" s="17">
        <f>F10-E10</f>
        <v>-0.44844195821359278</v>
      </c>
      <c r="I10" s="17">
        <f>F10-D10</f>
        <v>-0.10700851744563522</v>
      </c>
      <c r="J10" s="17">
        <f>F10/D10*100</f>
        <v>99.841643073084114</v>
      </c>
      <c r="K10" s="9"/>
    </row>
    <row r="11" spans="2:11" ht="15.75">
      <c r="B11" s="9"/>
      <c r="C11" s="12" t="s">
        <v>5</v>
      </c>
      <c r="D11" s="16">
        <f>'Таблица 1'!E10</f>
        <v>131</v>
      </c>
      <c r="E11" s="19">
        <v>137</v>
      </c>
      <c r="F11" s="16">
        <f>'Таблица 1'!F10</f>
        <v>149</v>
      </c>
      <c r="G11" s="17">
        <f>F11/E11*100</f>
        <v>108.75912408759123</v>
      </c>
      <c r="H11" s="23">
        <f>F11-E11</f>
        <v>12</v>
      </c>
      <c r="I11" s="23">
        <f>F11-D11</f>
        <v>18</v>
      </c>
      <c r="J11" s="17">
        <f>F11/D11*100</f>
        <v>113.74045801526718</v>
      </c>
      <c r="K11" s="9"/>
    </row>
    <row r="12" spans="2:11" ht="15.75">
      <c r="B12" s="9"/>
      <c r="C12" s="12" t="s">
        <v>30</v>
      </c>
      <c r="D12" s="17">
        <f>D11/D8*100</f>
        <v>32.425742574257427</v>
      </c>
      <c r="E12" s="17">
        <f>E11/E8*100</f>
        <v>32.084309133489462</v>
      </c>
      <c r="F12" s="17">
        <f>F11/F8*100</f>
        <v>32.532751091703055</v>
      </c>
      <c r="G12" s="17">
        <f>F12/E12*100</f>
        <v>101.39769865808179</v>
      </c>
      <c r="H12" s="17">
        <f>F12-E12</f>
        <v>0.44844195821359278</v>
      </c>
      <c r="I12" s="17">
        <f>F12-D12</f>
        <v>0.10700851744562812</v>
      </c>
      <c r="J12" s="17">
        <f>F12/D12*100</f>
        <v>100.33001100036667</v>
      </c>
      <c r="K12" s="9"/>
    </row>
    <row r="13" spans="2:11" ht="6.75" customHeight="1">
      <c r="B13" s="9"/>
      <c r="C13" s="9"/>
      <c r="D13" s="9"/>
      <c r="E13" s="9"/>
      <c r="F13" s="9"/>
      <c r="G13" s="9"/>
      <c r="H13" s="9"/>
      <c r="I13" s="9"/>
      <c r="J13" s="9"/>
      <c r="K13" s="9"/>
    </row>
  </sheetData>
  <mergeCells count="7">
    <mergeCell ref="C4:J4"/>
    <mergeCell ref="I5:J5"/>
    <mergeCell ref="C6:C7"/>
    <mergeCell ref="D6:D7"/>
    <mergeCell ref="E6:G6"/>
    <mergeCell ref="H6:I6"/>
    <mergeCell ref="J6:J7"/>
  </mergeCells>
  <phoneticPr fontId="2" type="noConversion"/>
  <pageMargins left="0.39370078740157483" right="0.39370078740157483" top="0.39370078740157483" bottom="0.39370078740157483" header="0.35433070866141736" footer="0.35433070866141736"/>
  <pageSetup paperSize="9" orientation="landscape" blackAndWhite="1" horizontalDpi="0" verticalDpi="0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/>
  <dimension ref="B1:H11"/>
  <sheetViews>
    <sheetView showGridLines="0" workbookViewId="0">
      <pane ySplit="7" topLeftCell="A8" activePane="bottomLeft" state="frozen"/>
      <selection pane="bottomLeft"/>
    </sheetView>
  </sheetViews>
  <sheetFormatPr defaultRowHeight="12.75"/>
  <cols>
    <col min="1" max="2" width="0.85546875" style="7" customWidth="1"/>
    <col min="3" max="3" width="34.85546875" style="7" customWidth="1"/>
    <col min="4" max="7" width="14.28515625" style="7" customWidth="1"/>
    <col min="8" max="8" width="0.85546875" style="7" customWidth="1"/>
    <col min="9" max="16384" width="9.140625" style="7"/>
  </cols>
  <sheetData>
    <row r="1" spans="2:8" ht="6" customHeight="1"/>
    <row r="2" spans="2:8" ht="6" customHeight="1">
      <c r="B2" s="9"/>
      <c r="C2" s="9"/>
      <c r="D2" s="9"/>
      <c r="E2" s="9"/>
      <c r="F2" s="9"/>
      <c r="G2" s="9"/>
      <c r="H2" s="9"/>
    </row>
    <row r="3" spans="2:8" ht="15.75">
      <c r="B3" s="9"/>
      <c r="C3" s="4"/>
      <c r="D3" s="4"/>
      <c r="E3" s="4"/>
      <c r="F3" s="4"/>
      <c r="G3" s="26" t="s">
        <v>31</v>
      </c>
      <c r="H3" s="9"/>
    </row>
    <row r="4" spans="2:8" ht="41.25" customHeight="1">
      <c r="B4" s="9"/>
      <c r="C4" s="107" t="s">
        <v>32</v>
      </c>
      <c r="D4" s="107"/>
      <c r="E4" s="107"/>
      <c r="F4" s="107"/>
      <c r="G4" s="107"/>
      <c r="H4" s="9"/>
    </row>
    <row r="5" spans="2:8" ht="15.75">
      <c r="B5" s="9"/>
      <c r="C5" s="27"/>
      <c r="D5" s="4"/>
      <c r="E5" s="4"/>
      <c r="F5" s="4"/>
      <c r="G5" s="4"/>
      <c r="H5" s="9"/>
    </row>
    <row r="6" spans="2:8" ht="47.25">
      <c r="B6" s="9"/>
      <c r="C6" s="13" t="s">
        <v>33</v>
      </c>
      <c r="D6" s="13" t="s">
        <v>3</v>
      </c>
      <c r="E6" s="13" t="s">
        <v>21</v>
      </c>
      <c r="F6" s="102" t="s">
        <v>290</v>
      </c>
      <c r="G6" s="13" t="s">
        <v>34</v>
      </c>
      <c r="H6" s="9"/>
    </row>
    <row r="7" spans="2:8" ht="15.75">
      <c r="B7" s="9"/>
      <c r="C7" s="13">
        <v>1</v>
      </c>
      <c r="D7" s="28">
        <v>2</v>
      </c>
      <c r="E7" s="13">
        <v>3</v>
      </c>
      <c r="F7" s="13">
        <v>4</v>
      </c>
      <c r="G7" s="13">
        <v>5</v>
      </c>
      <c r="H7" s="9"/>
    </row>
    <row r="8" spans="2:8" ht="34.5">
      <c r="B8" s="9"/>
      <c r="C8" s="12" t="s">
        <v>35</v>
      </c>
      <c r="D8" s="29" t="s">
        <v>36</v>
      </c>
      <c r="E8" s="29" t="s">
        <v>37</v>
      </c>
      <c r="F8" s="30" t="s">
        <v>38</v>
      </c>
      <c r="G8" s="30" t="s">
        <v>39</v>
      </c>
      <c r="H8" s="9"/>
    </row>
    <row r="9" spans="2:8" ht="34.5">
      <c r="B9" s="9"/>
      <c r="C9" s="12" t="s">
        <v>40</v>
      </c>
      <c r="D9" s="29" t="s">
        <v>41</v>
      </c>
      <c r="E9" s="29" t="s">
        <v>42</v>
      </c>
      <c r="F9" s="30" t="s">
        <v>43</v>
      </c>
      <c r="G9" s="30" t="s">
        <v>44</v>
      </c>
      <c r="H9" s="9"/>
    </row>
    <row r="10" spans="2:8" ht="18.75">
      <c r="B10" s="9"/>
      <c r="C10" s="12" t="s">
        <v>45</v>
      </c>
      <c r="D10" s="29" t="s">
        <v>46</v>
      </c>
      <c r="E10" s="29" t="s">
        <v>47</v>
      </c>
      <c r="F10" s="30" t="s">
        <v>48</v>
      </c>
      <c r="G10" s="30" t="s">
        <v>48</v>
      </c>
      <c r="H10" s="9"/>
    </row>
    <row r="11" spans="2:8" ht="6" customHeight="1">
      <c r="B11" s="9"/>
      <c r="C11" s="9"/>
      <c r="D11" s="9"/>
      <c r="E11" s="9"/>
      <c r="F11" s="9"/>
      <c r="G11" s="9"/>
      <c r="H11" s="9"/>
    </row>
  </sheetData>
  <mergeCells count="1">
    <mergeCell ref="C4:G4"/>
  </mergeCells>
  <phoneticPr fontId="2" type="noConversion"/>
  <pageMargins left="0.39370078740157483" right="0.39370078740157483" top="0.39370078740157483" bottom="0.39370078740157483" header="0.35433070866141736" footer="0.35433070866141736"/>
  <pageSetup paperSize="9" orientation="portrait" blackAndWhite="1" horizontalDpi="0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4"/>
  <dimension ref="B1:H15"/>
  <sheetViews>
    <sheetView showGridLines="0" workbookViewId="0">
      <pane ySplit="7" topLeftCell="A8" activePane="bottomLeft" state="frozen"/>
      <selection pane="bottomLeft"/>
    </sheetView>
  </sheetViews>
  <sheetFormatPr defaultRowHeight="12.75"/>
  <cols>
    <col min="1" max="2" width="0.85546875" style="7" customWidth="1"/>
    <col min="3" max="3" width="36.5703125" style="7" customWidth="1"/>
    <col min="4" max="7" width="13.7109375" style="7" customWidth="1"/>
    <col min="8" max="8" width="0.85546875" style="7" customWidth="1"/>
    <col min="9" max="16384" width="9.140625" style="7"/>
  </cols>
  <sheetData>
    <row r="1" spans="2:8" ht="6" customHeight="1"/>
    <row r="2" spans="2:8" ht="6" customHeight="1">
      <c r="B2" s="9"/>
      <c r="C2" s="9"/>
      <c r="D2" s="9"/>
      <c r="E2" s="9"/>
      <c r="F2" s="9"/>
      <c r="G2" s="9"/>
      <c r="H2" s="9"/>
    </row>
    <row r="3" spans="2:8" ht="15.75">
      <c r="B3" s="9"/>
      <c r="C3" s="4"/>
      <c r="D3" s="4"/>
      <c r="E3" s="4"/>
      <c r="F3" s="4"/>
      <c r="G3" s="26" t="s">
        <v>49</v>
      </c>
      <c r="H3" s="9"/>
    </row>
    <row r="4" spans="2:8" ht="37.5" customHeight="1">
      <c r="B4" s="9"/>
      <c r="C4" s="107" t="s">
        <v>55</v>
      </c>
      <c r="D4" s="107"/>
      <c r="E4" s="107"/>
      <c r="F4" s="107"/>
      <c r="G4" s="107"/>
      <c r="H4" s="9"/>
    </row>
    <row r="5" spans="2:8" ht="15.75">
      <c r="B5" s="9"/>
      <c r="C5" s="4"/>
      <c r="D5" s="4"/>
      <c r="E5" s="4"/>
      <c r="F5" s="4"/>
      <c r="G5" s="31" t="s">
        <v>18</v>
      </c>
      <c r="H5" s="9"/>
    </row>
    <row r="6" spans="2:8" ht="33" customHeight="1">
      <c r="B6" s="9"/>
      <c r="C6" s="112" t="s">
        <v>50</v>
      </c>
      <c r="D6" s="114" t="s">
        <v>56</v>
      </c>
      <c r="E6" s="115"/>
      <c r="F6" s="114" t="s">
        <v>57</v>
      </c>
      <c r="G6" s="115"/>
      <c r="H6" s="9"/>
    </row>
    <row r="7" spans="2:8" ht="15.75">
      <c r="B7" s="9"/>
      <c r="C7" s="113"/>
      <c r="D7" s="25" t="s">
        <v>51</v>
      </c>
      <c r="E7" s="25" t="s">
        <v>58</v>
      </c>
      <c r="F7" s="25" t="s">
        <v>51</v>
      </c>
      <c r="G7" s="25" t="s">
        <v>58</v>
      </c>
      <c r="H7" s="9"/>
    </row>
    <row r="8" spans="2:8" ht="47.25">
      <c r="B8" s="9"/>
      <c r="C8" s="12" t="s">
        <v>52</v>
      </c>
      <c r="D8" s="33" t="str">
        <f>CONCATENATE('Таблица 2'!H8," * ",'Таблица 2'!E12," / ",100)</f>
        <v>31 * 32,0843091334895 / 100</v>
      </c>
      <c r="E8" s="17">
        <f>ВЫЧИСЛИТЬ.е8</f>
        <v>9.9461358313817456</v>
      </c>
      <c r="F8" s="33" t="str">
        <f>CONCATENATE('Таблица 2'!I8," * ",'Таблица 2'!D12," / ",100)</f>
        <v>54 * 32,4257425742574 / 100</v>
      </c>
      <c r="G8" s="17">
        <f>ВЫЧИСЛИТЬg8</f>
        <v>17.509900990098995</v>
      </c>
      <c r="H8" s="9"/>
    </row>
    <row r="9" spans="2:8" ht="47.25">
      <c r="B9" s="9"/>
      <c r="C9" s="12" t="s">
        <v>59</v>
      </c>
      <c r="D9" s="33" t="str">
        <f>CONCATENATE('Таблица 2'!$F$8," * ",'Таблица 2'!$H$12," / ",100)</f>
        <v>458 * 0,448441958213593 / 100</v>
      </c>
      <c r="E9" s="17">
        <f>ВЫЧИСЛИТЬ.е9</f>
        <v>2.0538641686182562</v>
      </c>
      <c r="F9" s="33" t="str">
        <f>CONCATENATE('Таблица 2'!$F$8," * ",'Таблица 2'!$I$12," / ",100)</f>
        <v>458 * 0,107008517445628 / 100</v>
      </c>
      <c r="G9" s="17">
        <f>ВЫЧИСЛИТЬ.G9</f>
        <v>0.49009900990097627</v>
      </c>
      <c r="H9" s="9"/>
    </row>
    <row r="10" spans="2:8" ht="15.75">
      <c r="B10" s="9"/>
      <c r="C10" s="12" t="s">
        <v>53</v>
      </c>
      <c r="D10" s="29" t="s">
        <v>54</v>
      </c>
      <c r="E10" s="17">
        <f>SUM(E8:E9)</f>
        <v>12.000000000000002</v>
      </c>
      <c r="F10" s="29" t="s">
        <v>54</v>
      </c>
      <c r="G10" s="17">
        <f>SUM(G8:G9)</f>
        <v>17.999999999999972</v>
      </c>
      <c r="H10" s="9"/>
    </row>
    <row r="11" spans="2:8" ht="6" customHeight="1">
      <c r="B11" s="9"/>
      <c r="C11" s="9"/>
      <c r="D11" s="9"/>
      <c r="E11" s="9"/>
      <c r="F11" s="9"/>
      <c r="G11" s="9"/>
      <c r="H11" s="9"/>
    </row>
    <row r="15" spans="2:8">
      <c r="D15" s="7" t="s">
        <v>233</v>
      </c>
    </row>
  </sheetData>
  <mergeCells count="4">
    <mergeCell ref="C4:G4"/>
    <mergeCell ref="C6:C7"/>
    <mergeCell ref="D6:E6"/>
    <mergeCell ref="F6:G6"/>
  </mergeCells>
  <phoneticPr fontId="2" type="noConversion"/>
  <pageMargins left="0.39370078740157483" right="0.39370078740157483" top="0.39370078740157483" bottom="0.39370078740157483" header="0.35433070866141736" footer="0.35433070866141736"/>
  <pageSetup paperSize="9" orientation="portrait" blackAndWhite="1" horizontalDpi="0" verticalDpi="0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 codeName="Лист5"/>
  <dimension ref="B1:H17"/>
  <sheetViews>
    <sheetView showGridLines="0" workbookViewId="0">
      <pane ySplit="7" topLeftCell="A8" activePane="bottomLeft" state="frozen"/>
      <selection pane="bottomLeft"/>
    </sheetView>
  </sheetViews>
  <sheetFormatPr defaultRowHeight="12.75"/>
  <cols>
    <col min="1" max="2" width="0.85546875" style="7" customWidth="1"/>
    <col min="3" max="3" width="32.42578125" style="7" customWidth="1"/>
    <col min="4" max="6" width="10.7109375" style="7" customWidth="1"/>
    <col min="7" max="7" width="28.28515625" style="7" customWidth="1"/>
    <col min="8" max="8" width="0.85546875" style="7" customWidth="1"/>
    <col min="9" max="16384" width="9.140625" style="7"/>
  </cols>
  <sheetData>
    <row r="1" spans="2:8" ht="6" customHeight="1"/>
    <row r="2" spans="2:8" ht="6" customHeight="1">
      <c r="B2" s="9"/>
      <c r="C2" s="9"/>
      <c r="D2" s="9"/>
      <c r="E2" s="9"/>
      <c r="F2" s="9"/>
      <c r="G2" s="9"/>
      <c r="H2" s="9"/>
    </row>
    <row r="3" spans="2:8" ht="15.75">
      <c r="B3" s="9"/>
      <c r="C3" s="4"/>
      <c r="D3" s="34"/>
      <c r="E3" s="34"/>
      <c r="F3" s="34"/>
      <c r="G3" s="26" t="s">
        <v>234</v>
      </c>
      <c r="H3" s="9"/>
    </row>
    <row r="4" spans="2:8" ht="18.75">
      <c r="B4" s="9"/>
      <c r="C4" s="107" t="s">
        <v>61</v>
      </c>
      <c r="D4" s="107"/>
      <c r="E4" s="107"/>
      <c r="F4" s="107"/>
      <c r="G4" s="107"/>
      <c r="H4" s="9"/>
    </row>
    <row r="5" spans="2:8" ht="15.75">
      <c r="B5" s="9"/>
      <c r="C5" s="27"/>
      <c r="D5" s="34"/>
      <c r="E5" s="34"/>
      <c r="F5" s="34"/>
      <c r="G5" s="34"/>
      <c r="H5" s="9"/>
    </row>
    <row r="6" spans="2:8" ht="63">
      <c r="B6" s="9"/>
      <c r="C6" s="25" t="s">
        <v>33</v>
      </c>
      <c r="D6" s="25" t="s">
        <v>20</v>
      </c>
      <c r="E6" s="25" t="s">
        <v>4</v>
      </c>
      <c r="F6" s="25" t="s">
        <v>235</v>
      </c>
      <c r="G6" s="25" t="s">
        <v>34</v>
      </c>
      <c r="H6" s="9"/>
    </row>
    <row r="7" spans="2:8" ht="15.75">
      <c r="B7" s="9"/>
      <c r="C7" s="25">
        <v>1</v>
      </c>
      <c r="D7" s="25">
        <v>2</v>
      </c>
      <c r="E7" s="25">
        <v>3</v>
      </c>
      <c r="F7" s="25">
        <v>4</v>
      </c>
      <c r="G7" s="25">
        <v>5</v>
      </c>
      <c r="H7" s="9"/>
    </row>
    <row r="8" spans="2:8" ht="15.75">
      <c r="B8" s="9"/>
      <c r="C8" s="116" t="s">
        <v>62</v>
      </c>
      <c r="D8" s="117"/>
      <c r="E8" s="117"/>
      <c r="F8" s="117"/>
      <c r="G8" s="118"/>
      <c r="H8" s="9"/>
    </row>
    <row r="9" spans="2:8" ht="31.5">
      <c r="B9" s="9"/>
      <c r="C9" s="12" t="s">
        <v>63</v>
      </c>
      <c r="D9" s="32" t="s">
        <v>64</v>
      </c>
      <c r="E9" s="32" t="s">
        <v>65</v>
      </c>
      <c r="F9" s="35" t="s">
        <v>66</v>
      </c>
      <c r="G9" s="35" t="s">
        <v>67</v>
      </c>
      <c r="H9" s="9"/>
    </row>
    <row r="10" spans="2:8" ht="18.75">
      <c r="B10" s="9"/>
      <c r="C10" s="12" t="s">
        <v>68</v>
      </c>
      <c r="D10" s="32" t="s">
        <v>69</v>
      </c>
      <c r="E10" s="32" t="s">
        <v>70</v>
      </c>
      <c r="F10" s="35" t="s">
        <v>71</v>
      </c>
      <c r="G10" s="35" t="s">
        <v>72</v>
      </c>
      <c r="H10" s="9"/>
    </row>
    <row r="11" spans="2:8" ht="15.75">
      <c r="B11" s="9"/>
      <c r="C11" s="116" t="s">
        <v>73</v>
      </c>
      <c r="D11" s="117"/>
      <c r="E11" s="117"/>
      <c r="F11" s="117"/>
      <c r="G11" s="118"/>
      <c r="H11" s="9"/>
    </row>
    <row r="12" spans="2:8" ht="31.5">
      <c r="B12" s="9"/>
      <c r="C12" s="12" t="s">
        <v>74</v>
      </c>
      <c r="D12" s="32" t="s">
        <v>75</v>
      </c>
      <c r="E12" s="32" t="s">
        <v>76</v>
      </c>
      <c r="F12" s="35" t="s">
        <v>77</v>
      </c>
      <c r="G12" s="35" t="s">
        <v>78</v>
      </c>
      <c r="H12" s="9"/>
    </row>
    <row r="13" spans="2:8" ht="31.5">
      <c r="B13" s="9"/>
      <c r="C13" s="105" t="s">
        <v>98</v>
      </c>
      <c r="D13" s="32" t="s">
        <v>79</v>
      </c>
      <c r="E13" s="32" t="s">
        <v>80</v>
      </c>
      <c r="F13" s="35" t="s">
        <v>81</v>
      </c>
      <c r="G13" s="35" t="s">
        <v>82</v>
      </c>
      <c r="H13" s="9"/>
    </row>
    <row r="14" spans="2:8" ht="15.75">
      <c r="B14" s="9"/>
      <c r="C14" s="116" t="s">
        <v>83</v>
      </c>
      <c r="D14" s="117"/>
      <c r="E14" s="117"/>
      <c r="F14" s="117"/>
      <c r="G14" s="118"/>
      <c r="H14" s="9"/>
    </row>
    <row r="15" spans="2:8" ht="31.5">
      <c r="B15" s="9"/>
      <c r="C15" s="12" t="s">
        <v>84</v>
      </c>
      <c r="D15" s="32" t="s">
        <v>85</v>
      </c>
      <c r="E15" s="32" t="s">
        <v>86</v>
      </c>
      <c r="F15" s="35" t="s">
        <v>87</v>
      </c>
      <c r="G15" s="35" t="s">
        <v>88</v>
      </c>
      <c r="H15" s="9"/>
    </row>
    <row r="16" spans="2:8" ht="47.25">
      <c r="B16" s="9"/>
      <c r="C16" s="12" t="s">
        <v>89</v>
      </c>
      <c r="D16" s="32" t="s">
        <v>90</v>
      </c>
      <c r="E16" s="32" t="s">
        <v>91</v>
      </c>
      <c r="F16" s="35" t="s">
        <v>92</v>
      </c>
      <c r="G16" s="35" t="s">
        <v>93</v>
      </c>
      <c r="H16" s="9"/>
    </row>
    <row r="17" spans="2:8" ht="6" customHeight="1">
      <c r="B17" s="9"/>
      <c r="C17" s="9"/>
      <c r="D17" s="9"/>
      <c r="E17" s="9"/>
      <c r="F17" s="9"/>
      <c r="G17" s="9"/>
      <c r="H17" s="9"/>
    </row>
  </sheetData>
  <mergeCells count="4">
    <mergeCell ref="C4:G4"/>
    <mergeCell ref="C8:G8"/>
    <mergeCell ref="C11:G11"/>
    <mergeCell ref="C14:G14"/>
  </mergeCells>
  <phoneticPr fontId="2" type="noConversion"/>
  <pageMargins left="0.39370078740157483" right="0.39370078740157483" top="0.39370078740157483" bottom="0.39370078740157483" header="0.35433070866141736" footer="0.35433070866141736"/>
  <pageSetup paperSize="9" orientation="portrait" blackAndWhite="1" horizontalDpi="0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codeName="Лист6"/>
  <dimension ref="B1:I20"/>
  <sheetViews>
    <sheetView showGridLines="0" workbookViewId="0">
      <pane ySplit="7" topLeftCell="A8" activePane="bottomLeft" state="frozen"/>
      <selection pane="bottomLeft"/>
    </sheetView>
  </sheetViews>
  <sheetFormatPr defaultRowHeight="12.75"/>
  <cols>
    <col min="1" max="2" width="0.85546875" style="7" customWidth="1"/>
    <col min="3" max="3" width="26.85546875" style="7" customWidth="1"/>
    <col min="4" max="6" width="9.7109375" style="7" customWidth="1"/>
    <col min="7" max="7" width="25.85546875" style="7" customWidth="1"/>
    <col min="8" max="8" width="9.7109375" style="7" customWidth="1"/>
    <col min="9" max="9" width="0.85546875" style="7" customWidth="1"/>
    <col min="10" max="16384" width="9.140625" style="7"/>
  </cols>
  <sheetData>
    <row r="1" spans="2:9" ht="6" customHeight="1"/>
    <row r="2" spans="2:9" ht="6" customHeight="1">
      <c r="B2" s="9"/>
      <c r="C2" s="9"/>
      <c r="D2" s="9"/>
      <c r="E2" s="9"/>
      <c r="F2" s="9"/>
      <c r="G2" s="9"/>
      <c r="H2" s="9"/>
      <c r="I2" s="9"/>
    </row>
    <row r="3" spans="2:9" ht="15.75">
      <c r="B3" s="9"/>
      <c r="C3" s="4"/>
      <c r="D3" s="4"/>
      <c r="E3" s="4"/>
      <c r="F3" s="4"/>
      <c r="G3" s="4"/>
      <c r="H3" s="26" t="s">
        <v>60</v>
      </c>
      <c r="I3" s="9"/>
    </row>
    <row r="4" spans="2:9" ht="36.75" customHeight="1">
      <c r="B4" s="9"/>
      <c r="C4" s="107" t="s">
        <v>94</v>
      </c>
      <c r="D4" s="107"/>
      <c r="E4" s="107"/>
      <c r="F4" s="107"/>
      <c r="G4" s="107"/>
      <c r="H4" s="107"/>
      <c r="I4" s="9"/>
    </row>
    <row r="5" spans="2:9" ht="15.75">
      <c r="B5" s="9"/>
      <c r="C5" s="4"/>
      <c r="D5" s="4"/>
      <c r="E5" s="4"/>
      <c r="F5" s="4"/>
      <c r="G5" s="4"/>
      <c r="H5" s="31" t="s">
        <v>18</v>
      </c>
      <c r="I5" s="9"/>
    </row>
    <row r="6" spans="2:9" ht="15.75">
      <c r="B6" s="9"/>
      <c r="C6" s="112" t="s">
        <v>33</v>
      </c>
      <c r="D6" s="112" t="s">
        <v>20</v>
      </c>
      <c r="E6" s="112" t="s">
        <v>4</v>
      </c>
      <c r="F6" s="112" t="s">
        <v>151</v>
      </c>
      <c r="G6" s="114" t="s">
        <v>95</v>
      </c>
      <c r="H6" s="115"/>
      <c r="I6" s="9"/>
    </row>
    <row r="7" spans="2:9" ht="15" customHeight="1">
      <c r="B7" s="9"/>
      <c r="C7" s="113"/>
      <c r="D7" s="113"/>
      <c r="E7" s="113"/>
      <c r="F7" s="113"/>
      <c r="G7" s="25" t="s">
        <v>51</v>
      </c>
      <c r="H7" s="25" t="s">
        <v>58</v>
      </c>
      <c r="I7" s="9"/>
    </row>
    <row r="8" spans="2:9" ht="15.75">
      <c r="B8" s="9"/>
      <c r="C8" s="122" t="s">
        <v>62</v>
      </c>
      <c r="D8" s="123"/>
      <c r="E8" s="123"/>
      <c r="F8" s="123"/>
      <c r="G8" s="123"/>
      <c r="H8" s="124"/>
      <c r="I8" s="9"/>
    </row>
    <row r="9" spans="2:9" ht="31.5">
      <c r="B9" s="9"/>
      <c r="C9" s="37" t="s">
        <v>63</v>
      </c>
      <c r="D9" s="16">
        <f>'Таблица 1'!E13</f>
        <v>42</v>
      </c>
      <c r="E9" s="16">
        <f>'Таблица 1'!F13</f>
        <v>43</v>
      </c>
      <c r="F9" s="23">
        <f>E9-D9</f>
        <v>1</v>
      </c>
      <c r="G9" s="33" t="str">
        <f>CONCATENATE(F9," * ",D10," * ",'Таблица 2'!D12," / ",100)</f>
        <v>1 * 9,61904761904762 * 32,4257425742574 / 100</v>
      </c>
      <c r="H9" s="17">
        <f>вычислить.G69</f>
        <v>3.1190476190476168</v>
      </c>
      <c r="I9" s="9"/>
    </row>
    <row r="10" spans="2:9" ht="31.5">
      <c r="B10" s="9"/>
      <c r="C10" s="37" t="s">
        <v>68</v>
      </c>
      <c r="D10" s="33">
        <f>'Таблица 2'!D8/'Таблица 6'!D9</f>
        <v>9.6190476190476186</v>
      </c>
      <c r="E10" s="33">
        <f>'Таблица 2'!F8/'Таблица 6'!E9</f>
        <v>10.651162790697674</v>
      </c>
      <c r="F10" s="17">
        <f>E10-D10</f>
        <v>1.0321151716500552</v>
      </c>
      <c r="G10" s="33" t="str">
        <f>CONCATENATE(F10," * ",E9," * ",'Таблица 2'!D12," / ",100)</f>
        <v>1,03211517165006 * 43 * 32,4257425742574 / 100</v>
      </c>
      <c r="H10" s="17">
        <f>вычислить.h10</f>
        <v>14.390853371051445</v>
      </c>
      <c r="I10" s="9"/>
    </row>
    <row r="11" spans="2:9" ht="15.75">
      <c r="B11" s="9"/>
      <c r="C11" s="119" t="s">
        <v>96</v>
      </c>
      <c r="D11" s="120"/>
      <c r="E11" s="120"/>
      <c r="F11" s="120"/>
      <c r="G11" s="121"/>
      <c r="H11" s="17">
        <f>SUM(H9:H10)</f>
        <v>17.509900990099062</v>
      </c>
      <c r="I11" s="9"/>
    </row>
    <row r="12" spans="2:9" ht="15.75">
      <c r="B12" s="9"/>
      <c r="C12" s="119" t="s">
        <v>73</v>
      </c>
      <c r="D12" s="120"/>
      <c r="E12" s="120"/>
      <c r="F12" s="120"/>
      <c r="G12" s="120"/>
      <c r="H12" s="121"/>
      <c r="I12" s="9"/>
    </row>
    <row r="13" spans="2:9" ht="47.25">
      <c r="B13" s="9"/>
      <c r="C13" s="37" t="s">
        <v>97</v>
      </c>
      <c r="D13" s="36">
        <f>'Таблица 1'!E15</f>
        <v>8.5</v>
      </c>
      <c r="E13" s="36">
        <f>'Таблица 1'!F15</f>
        <v>8.5299999999999994</v>
      </c>
      <c r="F13" s="17">
        <f>E13-D13</f>
        <v>2.9999999999999361E-2</v>
      </c>
      <c r="G13" s="33" t="str">
        <f>CONCATENATE(F13," * ",D14," * ",'Таблица 2'!D12," / ",100)</f>
        <v>0,0299999999999994 * 47,5294117647059 * 32,4257425742574 / 100</v>
      </c>
      <c r="H13" s="17">
        <f>вычислить.h13</f>
        <v>0.46235294117646114</v>
      </c>
      <c r="I13" s="9"/>
    </row>
    <row r="14" spans="2:9" ht="41.25" customHeight="1">
      <c r="B14" s="9"/>
      <c r="C14" s="37" t="s">
        <v>98</v>
      </c>
      <c r="D14" s="33">
        <f>'Таблица 2'!D8/'Таблица 6'!D13</f>
        <v>47.529411764705884</v>
      </c>
      <c r="E14" s="33">
        <f>'Таблица 2'!F8/'Таблица 6'!E13</f>
        <v>53.692848769050414</v>
      </c>
      <c r="F14" s="17">
        <f>E14-D14</f>
        <v>6.1634370043445301</v>
      </c>
      <c r="G14" s="33" t="str">
        <f>CONCATENATE(F14," * ",E13," * ",'Таблица 2'!D12," / ",100)</f>
        <v>6,16343700434453 * 8,53 * 32,4257425742574 / 100</v>
      </c>
      <c r="H14" s="17">
        <f>вычислить.H14</f>
        <v>17.047548048922533</v>
      </c>
      <c r="I14" s="9"/>
    </row>
    <row r="15" spans="2:9" ht="15.75">
      <c r="B15" s="9"/>
      <c r="C15" s="119" t="s">
        <v>96</v>
      </c>
      <c r="D15" s="120"/>
      <c r="E15" s="120"/>
      <c r="F15" s="120"/>
      <c r="G15" s="121"/>
      <c r="H15" s="17">
        <f>SUM(H13:H14)</f>
        <v>17.509900990098995</v>
      </c>
      <c r="I15" s="9"/>
    </row>
    <row r="16" spans="2:9" ht="15.75">
      <c r="B16" s="9"/>
      <c r="C16" s="119" t="s">
        <v>83</v>
      </c>
      <c r="D16" s="120"/>
      <c r="E16" s="120"/>
      <c r="F16" s="120"/>
      <c r="G16" s="120"/>
      <c r="H16" s="121"/>
      <c r="I16" s="9"/>
    </row>
    <row r="17" spans="2:9" ht="47.25">
      <c r="B17" s="9"/>
      <c r="C17" s="37" t="s">
        <v>99</v>
      </c>
      <c r="D17" s="36">
        <f>'Таблица 1'!E17</f>
        <v>17.5</v>
      </c>
      <c r="E17" s="36">
        <f>'Таблица 1'!F17</f>
        <v>24.5</v>
      </c>
      <c r="F17" s="17">
        <f>E17-D17</f>
        <v>7</v>
      </c>
      <c r="G17" s="33" t="str">
        <f>CONCATENATE(F17," * ",D18," * ",'Таблица 2'!D12," / ",100)</f>
        <v>7 * 23,0857142857143 * 32,4257425742574 / 100</v>
      </c>
      <c r="H17" s="17">
        <f>вычислить.h17</f>
        <v>52.399999999999991</v>
      </c>
      <c r="I17" s="9"/>
    </row>
    <row r="18" spans="2:9" ht="47.25">
      <c r="B18" s="9"/>
      <c r="C18" s="37" t="s">
        <v>291</v>
      </c>
      <c r="D18" s="33">
        <f>'Таблица 2'!D8/'Таблица 6'!D17</f>
        <v>23.085714285714285</v>
      </c>
      <c r="E18" s="33">
        <f>'Таблица 2'!F8/'Таблица 6'!E17</f>
        <v>18.693877551020407</v>
      </c>
      <c r="F18" s="17">
        <f>E18-D18</f>
        <v>-4.3918367346938787</v>
      </c>
      <c r="G18" s="33" t="str">
        <f>CONCATENATE(F18," * ",E17," * ",'Таблица 2'!D12," / ",100)</f>
        <v>-4,39183673469388 * 24,5 * 32,4257425742574 / 100</v>
      </c>
      <c r="H18" s="17">
        <f>вычислить.h18</f>
        <v>-34.890099009900979</v>
      </c>
      <c r="I18" s="9"/>
    </row>
    <row r="19" spans="2:9" ht="15.75">
      <c r="B19" s="9"/>
      <c r="C19" s="119" t="s">
        <v>96</v>
      </c>
      <c r="D19" s="120"/>
      <c r="E19" s="120"/>
      <c r="F19" s="120"/>
      <c r="G19" s="121"/>
      <c r="H19" s="17">
        <f>SUM(H17:H18)</f>
        <v>17.509900990099013</v>
      </c>
      <c r="I19" s="9"/>
    </row>
    <row r="20" spans="2:9" ht="6" customHeight="1">
      <c r="B20" s="9"/>
      <c r="C20" s="9"/>
      <c r="D20" s="9"/>
      <c r="E20" s="9"/>
      <c r="F20" s="9"/>
      <c r="G20" s="9"/>
      <c r="H20" s="9"/>
      <c r="I20" s="9"/>
    </row>
  </sheetData>
  <mergeCells count="12">
    <mergeCell ref="C19:G19"/>
    <mergeCell ref="C4:H4"/>
    <mergeCell ref="C6:C7"/>
    <mergeCell ref="D6:D7"/>
    <mergeCell ref="E6:E7"/>
    <mergeCell ref="F6:F7"/>
    <mergeCell ref="G6:H6"/>
    <mergeCell ref="C8:H8"/>
    <mergeCell ref="C11:G11"/>
    <mergeCell ref="C12:H12"/>
    <mergeCell ref="C15:G15"/>
    <mergeCell ref="C16:H16"/>
  </mergeCells>
  <phoneticPr fontId="2" type="noConversion"/>
  <pageMargins left="0.39370078740157483" right="0.39370078740157483" top="0.39370078740157483" bottom="0.39370078740157483" header="0.35433070866141736" footer="0.35433070866141736"/>
  <pageSetup paperSize="9" orientation="portrait" horizontalDpi="0" verticalDpi="0" r:id="rId1"/>
  <headerFooter alignWithMargins="0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 codeName="Лист7"/>
  <dimension ref="B1:K16"/>
  <sheetViews>
    <sheetView showGridLines="0" workbookViewId="0">
      <pane ySplit="8" topLeftCell="A9" activePane="bottomLeft" state="frozen"/>
      <selection pane="bottomLeft"/>
    </sheetView>
  </sheetViews>
  <sheetFormatPr defaultRowHeight="12.75"/>
  <cols>
    <col min="1" max="2" width="0.85546875" style="7" customWidth="1"/>
    <col min="3" max="3" width="24" style="7" customWidth="1"/>
    <col min="4" max="10" width="9.140625" style="7"/>
    <col min="11" max="11" width="0.85546875" style="7" customWidth="1"/>
    <col min="12" max="16384" width="9.140625" style="7"/>
  </cols>
  <sheetData>
    <row r="1" spans="2:11" ht="6" customHeight="1"/>
    <row r="2" spans="2:11" ht="6" customHeight="1">
      <c r="B2" s="9"/>
      <c r="C2" s="9"/>
      <c r="D2" s="9"/>
      <c r="E2" s="9"/>
      <c r="F2" s="9"/>
      <c r="G2" s="9"/>
      <c r="H2" s="9"/>
      <c r="I2" s="9"/>
      <c r="J2" s="9"/>
      <c r="K2" s="9"/>
    </row>
    <row r="3" spans="2:11" ht="15.75">
      <c r="B3" s="9"/>
      <c r="C3" s="4"/>
      <c r="D3" s="4"/>
      <c r="E3" s="4"/>
      <c r="F3" s="4"/>
      <c r="G3" s="4"/>
      <c r="H3" s="4"/>
      <c r="I3" s="125" t="s">
        <v>241</v>
      </c>
      <c r="J3" s="125"/>
      <c r="K3" s="9"/>
    </row>
    <row r="4" spans="2:11" ht="39.75" customHeight="1">
      <c r="B4" s="9"/>
      <c r="C4" s="107" t="s">
        <v>101</v>
      </c>
      <c r="D4" s="107"/>
      <c r="E4" s="107"/>
      <c r="F4" s="107"/>
      <c r="G4" s="107"/>
      <c r="H4" s="107"/>
      <c r="I4" s="107"/>
      <c r="J4" s="107"/>
      <c r="K4" s="9"/>
    </row>
    <row r="5" spans="2:11" ht="15" customHeight="1">
      <c r="B5" s="9"/>
      <c r="C5" s="2"/>
      <c r="D5" s="4"/>
      <c r="E5" s="4"/>
      <c r="F5" s="4"/>
      <c r="G5" s="4"/>
      <c r="H5" s="4"/>
      <c r="I5" s="126" t="s">
        <v>18</v>
      </c>
      <c r="J5" s="126"/>
      <c r="K5" s="9"/>
    </row>
    <row r="6" spans="2:11" ht="15.75">
      <c r="B6" s="9"/>
      <c r="C6" s="111" t="s">
        <v>19</v>
      </c>
      <c r="D6" s="111" t="s">
        <v>3</v>
      </c>
      <c r="E6" s="111"/>
      <c r="F6" s="111" t="s">
        <v>21</v>
      </c>
      <c r="G6" s="111"/>
      <c r="H6" s="111" t="s">
        <v>22</v>
      </c>
      <c r="I6" s="111"/>
      <c r="J6" s="111" t="s">
        <v>23</v>
      </c>
      <c r="K6" s="9"/>
    </row>
    <row r="7" spans="2:11" ht="78.75">
      <c r="B7" s="9"/>
      <c r="C7" s="111"/>
      <c r="D7" s="38" t="s">
        <v>58</v>
      </c>
      <c r="E7" s="38" t="s">
        <v>102</v>
      </c>
      <c r="F7" s="38" t="s">
        <v>58</v>
      </c>
      <c r="G7" s="38" t="s">
        <v>102</v>
      </c>
      <c r="H7" s="104" t="s">
        <v>242</v>
      </c>
      <c r="I7" s="104" t="s">
        <v>292</v>
      </c>
      <c r="J7" s="111"/>
      <c r="K7" s="9"/>
    </row>
    <row r="8" spans="2:11" ht="15.75">
      <c r="B8" s="9"/>
      <c r="C8" s="38">
        <v>1</v>
      </c>
      <c r="D8" s="38">
        <v>2</v>
      </c>
      <c r="E8" s="38">
        <v>3</v>
      </c>
      <c r="F8" s="38">
        <v>4</v>
      </c>
      <c r="G8" s="38">
        <v>5</v>
      </c>
      <c r="H8" s="38">
        <v>6</v>
      </c>
      <c r="I8" s="38">
        <v>7</v>
      </c>
      <c r="J8" s="38">
        <v>8</v>
      </c>
      <c r="K8" s="9"/>
    </row>
    <row r="9" spans="2:11" ht="48" customHeight="1">
      <c r="B9" s="9"/>
      <c r="C9" s="12" t="s">
        <v>103</v>
      </c>
      <c r="D9" s="16">
        <f>'Таблица 12'!D12</f>
        <v>4.2023999999999972</v>
      </c>
      <c r="E9" s="17">
        <f t="shared" ref="E9:E14" si="0">D9/$D$15*100</f>
        <v>58.347217594135273</v>
      </c>
      <c r="F9" s="16">
        <f>'Таблица 12'!E12</f>
        <v>19.022199999999984</v>
      </c>
      <c r="G9" s="17">
        <f t="shared" ref="G9:G14" si="1">F9/$F$15*100</f>
        <v>76.02129309173452</v>
      </c>
      <c r="H9" s="23">
        <f>F9-D9</f>
        <v>14.819799999999987</v>
      </c>
      <c r="I9" s="17">
        <f>G9-E9</f>
        <v>17.674075497599247</v>
      </c>
      <c r="J9" s="17">
        <f>IF(D9=0,0,F9/D9*100)</f>
        <v>452.6508661717113</v>
      </c>
      <c r="K9" s="9"/>
    </row>
    <row r="10" spans="2:11" ht="45">
      <c r="B10" s="9"/>
      <c r="C10" s="24" t="s">
        <v>236</v>
      </c>
      <c r="D10" s="41">
        <v>0</v>
      </c>
      <c r="E10" s="17">
        <f t="shared" si="0"/>
        <v>0</v>
      </c>
      <c r="F10" s="41">
        <v>0</v>
      </c>
      <c r="G10" s="17">
        <f t="shared" si="1"/>
        <v>0</v>
      </c>
      <c r="H10" s="23">
        <f t="shared" ref="H10:H15" si="2">F10-D10</f>
        <v>0</v>
      </c>
      <c r="I10" s="17">
        <f t="shared" ref="I10:I15" si="3">G10-E10</f>
        <v>0</v>
      </c>
      <c r="J10" s="17">
        <f t="shared" ref="J10:J15" si="4">IF(D10=0,0,F10/D10*100)</f>
        <v>0</v>
      </c>
      <c r="K10" s="9"/>
    </row>
    <row r="11" spans="2:11" ht="30">
      <c r="B11" s="9"/>
      <c r="C11" s="24" t="s">
        <v>237</v>
      </c>
      <c r="D11" s="40">
        <f>D9+D10</f>
        <v>4.2023999999999972</v>
      </c>
      <c r="E11" s="17">
        <f t="shared" si="0"/>
        <v>58.347217594135273</v>
      </c>
      <c r="F11" s="40">
        <f>F9+F10</f>
        <v>19.022199999999984</v>
      </c>
      <c r="G11" s="17">
        <f t="shared" si="1"/>
        <v>76.02129309173452</v>
      </c>
      <c r="H11" s="23">
        <f t="shared" si="2"/>
        <v>14.819799999999987</v>
      </c>
      <c r="I11" s="17">
        <f t="shared" si="3"/>
        <v>17.674075497599247</v>
      </c>
      <c r="J11" s="17">
        <f t="shared" si="4"/>
        <v>452.6508661717113</v>
      </c>
      <c r="K11" s="9"/>
    </row>
    <row r="12" spans="2:11" ht="45">
      <c r="B12" s="9"/>
      <c r="C12" s="24" t="s">
        <v>238</v>
      </c>
      <c r="D12" s="41">
        <v>3</v>
      </c>
      <c r="E12" s="17">
        <f t="shared" si="0"/>
        <v>41.652782405864727</v>
      </c>
      <c r="F12" s="41">
        <v>6</v>
      </c>
      <c r="G12" s="17">
        <f t="shared" si="1"/>
        <v>23.978706908265476</v>
      </c>
      <c r="H12" s="23">
        <f t="shared" si="2"/>
        <v>3</v>
      </c>
      <c r="I12" s="17">
        <f t="shared" si="3"/>
        <v>-17.674075497599251</v>
      </c>
      <c r="J12" s="17">
        <f t="shared" si="4"/>
        <v>200</v>
      </c>
      <c r="K12" s="9"/>
    </row>
    <row r="13" spans="2:11" ht="45">
      <c r="B13" s="9"/>
      <c r="C13" s="24" t="s">
        <v>239</v>
      </c>
      <c r="D13" s="41">
        <v>0</v>
      </c>
      <c r="E13" s="17">
        <f t="shared" si="0"/>
        <v>0</v>
      </c>
      <c r="F13" s="41">
        <v>0</v>
      </c>
      <c r="G13" s="17">
        <f t="shared" si="1"/>
        <v>0</v>
      </c>
      <c r="H13" s="23">
        <f t="shared" si="2"/>
        <v>0</v>
      </c>
      <c r="I13" s="17">
        <f t="shared" si="3"/>
        <v>0</v>
      </c>
      <c r="J13" s="17">
        <f t="shared" si="4"/>
        <v>0</v>
      </c>
      <c r="K13" s="9"/>
    </row>
    <row r="14" spans="2:11" ht="30">
      <c r="B14" s="9"/>
      <c r="C14" s="24" t="s">
        <v>240</v>
      </c>
      <c r="D14" s="41">
        <v>0</v>
      </c>
      <c r="E14" s="17">
        <f t="shared" si="0"/>
        <v>0</v>
      </c>
      <c r="F14" s="41">
        <v>0</v>
      </c>
      <c r="G14" s="17">
        <f t="shared" si="1"/>
        <v>0</v>
      </c>
      <c r="H14" s="23">
        <f t="shared" si="2"/>
        <v>0</v>
      </c>
      <c r="I14" s="17">
        <f t="shared" si="3"/>
        <v>0</v>
      </c>
      <c r="J14" s="17">
        <f t="shared" si="4"/>
        <v>0</v>
      </c>
      <c r="K14" s="9"/>
    </row>
    <row r="15" spans="2:11" ht="15.75">
      <c r="B15" s="9"/>
      <c r="C15" s="12" t="s">
        <v>104</v>
      </c>
      <c r="D15" s="23">
        <f>D11+D12+D13+D14</f>
        <v>7.2023999999999972</v>
      </c>
      <c r="E15" s="17">
        <f>SUM(E9:E14)</f>
        <v>158.34721759413526</v>
      </c>
      <c r="F15" s="23">
        <f>F11+F12+F13+F14</f>
        <v>25.022199999999984</v>
      </c>
      <c r="G15" s="17">
        <f>SUM(G9:G14)</f>
        <v>176.02129309173452</v>
      </c>
      <c r="H15" s="23">
        <f t="shared" si="2"/>
        <v>17.819799999999987</v>
      </c>
      <c r="I15" s="17">
        <f t="shared" si="3"/>
        <v>17.674075497599262</v>
      </c>
      <c r="J15" s="17">
        <f t="shared" si="4"/>
        <v>347.41475063867591</v>
      </c>
      <c r="K15" s="9"/>
    </row>
    <row r="16" spans="2:11" ht="6.75" customHeight="1">
      <c r="B16" s="9"/>
      <c r="C16" s="9"/>
      <c r="D16" s="9"/>
      <c r="E16" s="9"/>
      <c r="F16" s="9"/>
      <c r="G16" s="9"/>
      <c r="H16" s="9"/>
      <c r="I16" s="9"/>
      <c r="J16" s="9"/>
      <c r="K16" s="9"/>
    </row>
  </sheetData>
  <mergeCells count="8">
    <mergeCell ref="I3:J3"/>
    <mergeCell ref="C4:J4"/>
    <mergeCell ref="I5:J5"/>
    <mergeCell ref="C6:C7"/>
    <mergeCell ref="D6:E6"/>
    <mergeCell ref="F6:G6"/>
    <mergeCell ref="H6:I6"/>
    <mergeCell ref="J6:J7"/>
  </mergeCells>
  <phoneticPr fontId="2" type="noConversion"/>
  <pageMargins left="0.39370078740157483" right="0.39370078740157483" top="0.39370078740157483" bottom="0.39370078740157483" header="0.35433070866141736" footer="0.35433070866141736"/>
  <pageSetup paperSize="9" orientation="portrait" blackAndWhite="1" horizontalDpi="0" verticalDpi="0" r:id="rId1"/>
  <headerFooter alignWithMargins="0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Лист8"/>
  <dimension ref="B1:K13"/>
  <sheetViews>
    <sheetView showGridLines="0" workbookViewId="0">
      <pane ySplit="7" topLeftCell="A8" activePane="bottomLeft" state="frozen"/>
      <selection pane="bottomLeft"/>
    </sheetView>
  </sheetViews>
  <sheetFormatPr defaultRowHeight="12.75"/>
  <cols>
    <col min="1" max="2" width="0.85546875" style="7" customWidth="1"/>
    <col min="3" max="3" width="18" style="7" customWidth="1"/>
    <col min="4" max="10" width="10.7109375" style="7" customWidth="1"/>
    <col min="11" max="11" width="0.85546875" style="7" customWidth="1"/>
    <col min="12" max="16384" width="9.140625" style="7"/>
  </cols>
  <sheetData>
    <row r="1" spans="2:11" ht="6" customHeight="1"/>
    <row r="2" spans="2:11" ht="6" customHeight="1">
      <c r="B2" s="9"/>
      <c r="C2" s="9"/>
      <c r="D2" s="9"/>
      <c r="E2" s="9"/>
      <c r="F2" s="9"/>
      <c r="G2" s="9"/>
      <c r="H2" s="9"/>
      <c r="I2" s="9"/>
      <c r="J2" s="9"/>
      <c r="K2" s="9"/>
    </row>
    <row r="3" spans="2:11" ht="15.75">
      <c r="B3" s="9"/>
      <c r="C3" s="4"/>
      <c r="D3" s="4"/>
      <c r="E3" s="4"/>
      <c r="F3" s="4"/>
      <c r="G3" s="4"/>
      <c r="H3" s="4"/>
      <c r="I3" s="4"/>
      <c r="J3" s="11" t="s">
        <v>100</v>
      </c>
      <c r="K3" s="9"/>
    </row>
    <row r="4" spans="2:11" ht="37.5" customHeight="1">
      <c r="B4" s="9"/>
      <c r="C4" s="107" t="s">
        <v>106</v>
      </c>
      <c r="D4" s="107"/>
      <c r="E4" s="107"/>
      <c r="F4" s="107"/>
      <c r="G4" s="107"/>
      <c r="H4" s="107"/>
      <c r="I4" s="107"/>
      <c r="J4" s="107"/>
      <c r="K4" s="9"/>
    </row>
    <row r="5" spans="2:11" ht="15.75">
      <c r="B5" s="9"/>
      <c r="C5" s="4"/>
      <c r="D5" s="4"/>
      <c r="E5" s="4"/>
      <c r="F5" s="4"/>
      <c r="G5" s="4"/>
      <c r="H5" s="4"/>
      <c r="I5" s="126" t="s">
        <v>18</v>
      </c>
      <c r="J5" s="126"/>
      <c r="K5" s="9"/>
    </row>
    <row r="6" spans="2:11" ht="15.75">
      <c r="B6" s="9"/>
      <c r="C6" s="111" t="s">
        <v>33</v>
      </c>
      <c r="D6" s="111" t="s">
        <v>20</v>
      </c>
      <c r="E6" s="111" t="s">
        <v>21</v>
      </c>
      <c r="F6" s="111"/>
      <c r="G6" s="111"/>
      <c r="H6" s="111" t="s">
        <v>22</v>
      </c>
      <c r="I6" s="111"/>
      <c r="J6" s="111" t="s">
        <v>23</v>
      </c>
      <c r="K6" s="9"/>
    </row>
    <row r="7" spans="2:11" ht="49.5" customHeight="1">
      <c r="B7" s="9"/>
      <c r="C7" s="111"/>
      <c r="D7" s="111"/>
      <c r="E7" s="38" t="s">
        <v>24</v>
      </c>
      <c r="F7" s="38" t="s">
        <v>25</v>
      </c>
      <c r="G7" s="38" t="s">
        <v>26</v>
      </c>
      <c r="H7" s="38" t="s">
        <v>27</v>
      </c>
      <c r="I7" s="104" t="s">
        <v>293</v>
      </c>
      <c r="J7" s="111"/>
      <c r="K7" s="9"/>
    </row>
    <row r="8" spans="2:11" ht="31.5">
      <c r="B8" s="9"/>
      <c r="C8" s="12" t="s">
        <v>28</v>
      </c>
      <c r="D8" s="16">
        <f>'Таблица 2'!D8</f>
        <v>404</v>
      </c>
      <c r="E8" s="16">
        <f>'Таблица 2'!E8</f>
        <v>427</v>
      </c>
      <c r="F8" s="16">
        <f>'Таблица 2'!F8</f>
        <v>458</v>
      </c>
      <c r="G8" s="17">
        <f>F8/E8*100</f>
        <v>107.25995316159252</v>
      </c>
      <c r="H8" s="23">
        <f>F8-E8</f>
        <v>31</v>
      </c>
      <c r="I8" s="23">
        <f>F8-D8</f>
        <v>54</v>
      </c>
      <c r="J8" s="17">
        <f>F8/D8*100</f>
        <v>113.36633663366335</v>
      </c>
      <c r="K8" s="9"/>
    </row>
    <row r="9" spans="2:11" ht="31.5">
      <c r="B9" s="9"/>
      <c r="C9" s="12" t="s">
        <v>7</v>
      </c>
      <c r="D9" s="16">
        <f>'Таблица 1'!E11</f>
        <v>127</v>
      </c>
      <c r="E9" s="19">
        <v>125</v>
      </c>
      <c r="F9" s="16">
        <f>'Таблица 1'!F11</f>
        <v>130</v>
      </c>
      <c r="G9" s="17">
        <f>F9/E9*100</f>
        <v>104</v>
      </c>
      <c r="H9" s="23">
        <f>F9-E9</f>
        <v>5</v>
      </c>
      <c r="I9" s="23">
        <f>F9-D9</f>
        <v>3</v>
      </c>
      <c r="J9" s="17">
        <f>F9/D9*100</f>
        <v>102.36220472440945</v>
      </c>
      <c r="K9" s="9"/>
    </row>
    <row r="10" spans="2:11" ht="16.5" customHeight="1">
      <c r="B10" s="9"/>
      <c r="C10" s="12" t="s">
        <v>29</v>
      </c>
      <c r="D10" s="17">
        <f>D9/D8*100</f>
        <v>31.435643564356436</v>
      </c>
      <c r="E10" s="17">
        <f>E9/E8*100</f>
        <v>29.274004683840747</v>
      </c>
      <c r="F10" s="17">
        <f>F9/F8*100</f>
        <v>28.384279475982531</v>
      </c>
      <c r="G10" s="17">
        <f>F10/E10*100</f>
        <v>96.960698689956331</v>
      </c>
      <c r="H10" s="17">
        <f>F10-E10</f>
        <v>-0.88972520785821629</v>
      </c>
      <c r="I10" s="17">
        <f>F10-D10</f>
        <v>-3.051364088373905</v>
      </c>
      <c r="J10" s="17">
        <f>F10/D10*100</f>
        <v>90.293298490527107</v>
      </c>
      <c r="K10" s="9"/>
    </row>
    <row r="11" spans="2:11" ht="31.5">
      <c r="B11" s="9"/>
      <c r="C11" s="12" t="s">
        <v>107</v>
      </c>
      <c r="D11" s="16">
        <f>'Таблица 7'!D9</f>
        <v>4.2023999999999972</v>
      </c>
      <c r="E11" s="19">
        <v>12</v>
      </c>
      <c r="F11" s="16">
        <f>'Таблица 7'!F9</f>
        <v>19.022199999999984</v>
      </c>
      <c r="G11" s="17">
        <f>F11/E11*100</f>
        <v>158.5183333333332</v>
      </c>
      <c r="H11" s="23">
        <f>F11-E11</f>
        <v>7.0221999999999838</v>
      </c>
      <c r="I11" s="23">
        <f>F11-D11</f>
        <v>14.819799999999987</v>
      </c>
      <c r="J11" s="17">
        <f>F11/D11*100</f>
        <v>452.6508661717113</v>
      </c>
      <c r="K11" s="9"/>
    </row>
    <row r="12" spans="2:11" ht="15.75">
      <c r="B12" s="9"/>
      <c r="C12" s="12" t="s">
        <v>29</v>
      </c>
      <c r="D12" s="17">
        <f>D11/D8*100</f>
        <v>1.0401980198019796</v>
      </c>
      <c r="E12" s="17">
        <f>E11/E8*100</f>
        <v>2.810304449648712</v>
      </c>
      <c r="F12" s="17">
        <f>F11/F8*100</f>
        <v>4.153318777292573</v>
      </c>
      <c r="G12" s="17">
        <f>F12/E12*100</f>
        <v>147.78892649199406</v>
      </c>
      <c r="H12" s="17">
        <f>F12-E12</f>
        <v>1.3430143276438611</v>
      </c>
      <c r="I12" s="17">
        <f>F12-D12</f>
        <v>3.1131207574905932</v>
      </c>
      <c r="J12" s="17">
        <f>F12/D12*100</f>
        <v>399.28155007286324</v>
      </c>
      <c r="K12" s="9"/>
    </row>
    <row r="13" spans="2:11" ht="6" customHeight="1">
      <c r="B13" s="9"/>
      <c r="C13" s="9"/>
      <c r="D13" s="9"/>
      <c r="E13" s="9"/>
      <c r="F13" s="9"/>
      <c r="G13" s="9"/>
      <c r="H13" s="9"/>
      <c r="I13" s="9"/>
      <c r="J13" s="9"/>
      <c r="K13" s="9"/>
    </row>
  </sheetData>
  <mergeCells count="7">
    <mergeCell ref="C4:J4"/>
    <mergeCell ref="I5:J5"/>
    <mergeCell ref="C6:C7"/>
    <mergeCell ref="D6:D7"/>
    <mergeCell ref="E6:G6"/>
    <mergeCell ref="H6:I6"/>
    <mergeCell ref="J6:J7"/>
  </mergeCells>
  <pageMargins left="0.39370078740157483" right="0.39370078740157483" top="0.39370078740157483" bottom="0.39370078740157483" header="0.35433070866141736" footer="0.35433070866141736"/>
  <pageSetup paperSize="9" orientation="portrait" blackAndWhite="1" horizontalDpi="0" verticalDpi="0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 codeName="Лист9"/>
  <dimension ref="B1:M16"/>
  <sheetViews>
    <sheetView showGridLines="0" workbookViewId="0">
      <pane ySplit="8" topLeftCell="A9" activePane="bottomLeft" state="frozen"/>
      <selection pane="bottomLeft"/>
    </sheetView>
  </sheetViews>
  <sheetFormatPr defaultRowHeight="12.75"/>
  <cols>
    <col min="1" max="2" width="0.85546875" style="7" customWidth="1"/>
    <col min="3" max="3" width="17.85546875" style="7" customWidth="1"/>
    <col min="4" max="10" width="10.7109375" style="7" customWidth="1"/>
    <col min="11" max="11" width="0.85546875" style="7" customWidth="1"/>
    <col min="12" max="16384" width="9.140625" style="7"/>
  </cols>
  <sheetData>
    <row r="1" spans="2:13" ht="6" customHeight="1"/>
    <row r="2" spans="2:13" ht="6" customHeight="1">
      <c r="B2" s="9"/>
      <c r="C2" s="9"/>
      <c r="D2" s="9"/>
      <c r="E2" s="9"/>
      <c r="F2" s="9"/>
      <c r="G2" s="9"/>
      <c r="H2" s="9"/>
      <c r="I2" s="9"/>
      <c r="J2" s="9"/>
      <c r="K2" s="9"/>
    </row>
    <row r="3" spans="2:13" ht="15.75">
      <c r="B3" s="9"/>
      <c r="C3" s="4"/>
      <c r="D3" s="34"/>
      <c r="E3" s="34"/>
      <c r="F3" s="34"/>
      <c r="G3" s="34"/>
      <c r="H3" s="34"/>
      <c r="I3" s="125" t="s">
        <v>105</v>
      </c>
      <c r="J3" s="125"/>
      <c r="K3" s="9"/>
    </row>
    <row r="4" spans="2:13" ht="57" customHeight="1">
      <c r="B4" s="9"/>
      <c r="C4" s="107" t="s">
        <v>109</v>
      </c>
      <c r="D4" s="107"/>
      <c r="E4" s="107"/>
      <c r="F4" s="107"/>
      <c r="G4" s="107"/>
      <c r="H4" s="107"/>
      <c r="I4" s="107"/>
      <c r="J4" s="107"/>
      <c r="K4" s="9"/>
    </row>
    <row r="5" spans="2:13" ht="15.75">
      <c r="B5" s="9"/>
      <c r="C5" s="3"/>
      <c r="D5" s="34"/>
      <c r="E5" s="34"/>
      <c r="F5" s="34"/>
      <c r="G5" s="34"/>
      <c r="H5" s="34"/>
      <c r="I5" s="110" t="s">
        <v>18</v>
      </c>
      <c r="J5" s="110"/>
      <c r="K5" s="9"/>
    </row>
    <row r="6" spans="2:13" ht="15.75">
      <c r="B6" s="9"/>
      <c r="C6" s="111" t="s">
        <v>19</v>
      </c>
      <c r="D6" s="111" t="s">
        <v>3</v>
      </c>
      <c r="E6" s="111"/>
      <c r="F6" s="111" t="s">
        <v>21</v>
      </c>
      <c r="G6" s="111"/>
      <c r="H6" s="111" t="s">
        <v>22</v>
      </c>
      <c r="I6" s="111"/>
      <c r="J6" s="111" t="s">
        <v>23</v>
      </c>
      <c r="K6" s="9"/>
    </row>
    <row r="7" spans="2:13" ht="78.75">
      <c r="B7" s="9"/>
      <c r="C7" s="111"/>
      <c r="D7" s="38" t="s">
        <v>58</v>
      </c>
      <c r="E7" s="38" t="s">
        <v>102</v>
      </c>
      <c r="F7" s="38" t="s">
        <v>58</v>
      </c>
      <c r="G7" s="38" t="s">
        <v>102</v>
      </c>
      <c r="H7" s="38" t="s">
        <v>242</v>
      </c>
      <c r="I7" s="38" t="s">
        <v>243</v>
      </c>
      <c r="J7" s="111"/>
      <c r="K7" s="9"/>
    </row>
    <row r="8" spans="2:13" ht="15.75">
      <c r="B8" s="9"/>
      <c r="C8" s="38">
        <v>1</v>
      </c>
      <c r="D8" s="28">
        <v>2</v>
      </c>
      <c r="E8" s="38">
        <v>3</v>
      </c>
      <c r="F8" s="38">
        <v>4</v>
      </c>
      <c r="G8" s="38">
        <v>5</v>
      </c>
      <c r="H8" s="38">
        <v>6</v>
      </c>
      <c r="I8" s="38">
        <v>7</v>
      </c>
      <c r="J8" s="38">
        <v>8</v>
      </c>
      <c r="K8" s="9"/>
    </row>
    <row r="9" spans="2:13" ht="31.5">
      <c r="B9" s="9"/>
      <c r="C9" s="12" t="s">
        <v>110</v>
      </c>
      <c r="D9" s="16">
        <f>'Таблица 2'!D8</f>
        <v>404</v>
      </c>
      <c r="E9" s="17">
        <f t="shared" ref="E9:E14" si="0">D9/$D$9*100</f>
        <v>100</v>
      </c>
      <c r="F9" s="16">
        <f>'Таблица 2'!F8</f>
        <v>458</v>
      </c>
      <c r="G9" s="17">
        <f t="shared" ref="G9:G14" si="1">F9/$F$9*100</f>
        <v>100</v>
      </c>
      <c r="H9" s="23">
        <f t="shared" ref="H9:I14" si="2">F9-D9</f>
        <v>54</v>
      </c>
      <c r="I9" s="17">
        <f t="shared" si="2"/>
        <v>0</v>
      </c>
      <c r="J9" s="17">
        <f t="shared" ref="J9:J14" si="3">F9/D9*100</f>
        <v>113.36633663366335</v>
      </c>
      <c r="K9" s="9"/>
      <c r="M9" s="42"/>
    </row>
    <row r="10" spans="2:13" ht="47.25">
      <c r="B10" s="9"/>
      <c r="C10" s="12" t="s">
        <v>111</v>
      </c>
      <c r="D10" s="23">
        <f>SUM(D11:D12)</f>
        <v>400</v>
      </c>
      <c r="E10" s="17">
        <f t="shared" si="0"/>
        <v>99.009900990099013</v>
      </c>
      <c r="F10" s="23">
        <f>SUM(F11:F12)</f>
        <v>439</v>
      </c>
      <c r="G10" s="17">
        <f t="shared" si="1"/>
        <v>95.851528384279476</v>
      </c>
      <c r="H10" s="23">
        <f t="shared" si="2"/>
        <v>39</v>
      </c>
      <c r="I10" s="17">
        <f t="shared" si="2"/>
        <v>-3.1583726058195367</v>
      </c>
      <c r="J10" s="17">
        <f t="shared" si="3"/>
        <v>109.74999999999999</v>
      </c>
      <c r="K10" s="9"/>
    </row>
    <row r="11" spans="2:13" ht="63">
      <c r="B11" s="9"/>
      <c r="C11" s="105" t="s">
        <v>294</v>
      </c>
      <c r="D11" s="16">
        <f>'Таблица 1'!E9</f>
        <v>273</v>
      </c>
      <c r="E11" s="17">
        <f t="shared" si="0"/>
        <v>67.574257425742573</v>
      </c>
      <c r="F11" s="16">
        <f>'Таблица 1'!F9</f>
        <v>309</v>
      </c>
      <c r="G11" s="17">
        <f t="shared" si="1"/>
        <v>67.467248908296938</v>
      </c>
      <c r="H11" s="23">
        <f t="shared" si="2"/>
        <v>36</v>
      </c>
      <c r="I11" s="17">
        <f t="shared" si="2"/>
        <v>-0.10700851744563522</v>
      </c>
      <c r="J11" s="17">
        <f t="shared" si="3"/>
        <v>113.18681318681318</v>
      </c>
      <c r="K11" s="9"/>
    </row>
    <row r="12" spans="2:13" ht="47.25">
      <c r="B12" s="9"/>
      <c r="C12" s="105" t="s">
        <v>295</v>
      </c>
      <c r="D12" s="16">
        <f>'Таблица 1'!E11</f>
        <v>127</v>
      </c>
      <c r="E12" s="17">
        <f t="shared" si="0"/>
        <v>31.435643564356436</v>
      </c>
      <c r="F12" s="16">
        <f>'Таблица 1'!F11</f>
        <v>130</v>
      </c>
      <c r="G12" s="17">
        <f t="shared" si="1"/>
        <v>28.384279475982531</v>
      </c>
      <c r="H12" s="23">
        <f t="shared" si="2"/>
        <v>3</v>
      </c>
      <c r="I12" s="17">
        <f t="shared" si="2"/>
        <v>-3.051364088373905</v>
      </c>
      <c r="J12" s="17">
        <f t="shared" si="3"/>
        <v>102.36220472440945</v>
      </c>
      <c r="K12" s="9"/>
    </row>
    <row r="13" spans="2:13" ht="31.5">
      <c r="B13" s="9"/>
      <c r="C13" s="12" t="s">
        <v>112</v>
      </c>
      <c r="D13" s="16">
        <f>'Таблица 2'!D11</f>
        <v>131</v>
      </c>
      <c r="E13" s="17">
        <f t="shared" si="0"/>
        <v>32.425742574257427</v>
      </c>
      <c r="F13" s="16">
        <f>'Таблица 2'!F11</f>
        <v>149</v>
      </c>
      <c r="G13" s="17">
        <f t="shared" si="1"/>
        <v>32.532751091703055</v>
      </c>
      <c r="H13" s="23">
        <f t="shared" si="2"/>
        <v>18</v>
      </c>
      <c r="I13" s="17">
        <f t="shared" si="2"/>
        <v>0.10700851744562812</v>
      </c>
      <c r="J13" s="17">
        <f t="shared" si="3"/>
        <v>113.74045801526718</v>
      </c>
      <c r="K13" s="9"/>
    </row>
    <row r="14" spans="2:13" ht="63">
      <c r="B14" s="9"/>
      <c r="C14" s="12" t="s">
        <v>244</v>
      </c>
      <c r="D14" s="16">
        <f>'Таблица 7'!D9</f>
        <v>4.2023999999999972</v>
      </c>
      <c r="E14" s="17">
        <f t="shared" si="0"/>
        <v>1.0401980198019796</v>
      </c>
      <c r="F14" s="16">
        <f>'Таблица 7'!F9</f>
        <v>19.022199999999984</v>
      </c>
      <c r="G14" s="17">
        <f t="shared" si="1"/>
        <v>4.153318777292573</v>
      </c>
      <c r="H14" s="23">
        <f t="shared" si="2"/>
        <v>14.819799999999987</v>
      </c>
      <c r="I14" s="17">
        <f t="shared" si="2"/>
        <v>3.1131207574905932</v>
      </c>
      <c r="J14" s="17">
        <f t="shared" si="3"/>
        <v>452.6508661717113</v>
      </c>
      <c r="K14" s="9"/>
      <c r="M14" s="42"/>
    </row>
    <row r="15" spans="2:13" ht="6.75" customHeight="1">
      <c r="B15" s="9"/>
      <c r="C15" s="9"/>
      <c r="D15" s="9"/>
      <c r="E15" s="9"/>
      <c r="F15" s="9"/>
      <c r="G15" s="9"/>
      <c r="H15" s="9"/>
      <c r="I15" s="9"/>
      <c r="J15" s="9"/>
      <c r="K15" s="9"/>
    </row>
    <row r="16" spans="2:13">
      <c r="E16" s="42"/>
    </row>
  </sheetData>
  <mergeCells count="8">
    <mergeCell ref="I3:J3"/>
    <mergeCell ref="C4:J4"/>
    <mergeCell ref="I5:J5"/>
    <mergeCell ref="C6:C7"/>
    <mergeCell ref="D6:E6"/>
    <mergeCell ref="F6:G6"/>
    <mergeCell ref="H6:I6"/>
    <mergeCell ref="J6:J7"/>
  </mergeCells>
  <pageMargins left="0.39370078740157483" right="0.39370078740157483" top="0.39370078740157483" bottom="0.39370078740157483" header="0.35433070866141736" footer="0.35433070866141736"/>
  <pageSetup paperSize="9" orientation="portrait" blackAndWhite="1" horizontalDpi="0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19</vt:i4>
      </vt:variant>
      <vt:variant>
        <vt:lpstr>Именованные диапазоны</vt:lpstr>
      </vt:variant>
      <vt:variant>
        <vt:i4>19</vt:i4>
      </vt:variant>
    </vt:vector>
  </HeadingPairs>
  <TitlesOfParts>
    <vt:vector size="38" baseType="lpstr">
      <vt:lpstr>Таблица 1</vt:lpstr>
      <vt:lpstr>Таблица 2</vt:lpstr>
      <vt:lpstr>Таблица 3</vt:lpstr>
      <vt:lpstr>Таблица 4</vt:lpstr>
      <vt:lpstr>Таблица 5</vt:lpstr>
      <vt:lpstr>Таблица 6</vt:lpstr>
      <vt:lpstr>Таблица 7</vt:lpstr>
      <vt:lpstr>Таблица 8</vt:lpstr>
      <vt:lpstr>Таблица 9</vt:lpstr>
      <vt:lpstr>Таблица 10</vt:lpstr>
      <vt:lpstr>Таблица 11</vt:lpstr>
      <vt:lpstr>Таблица 12</vt:lpstr>
      <vt:lpstr>Таблица 13</vt:lpstr>
      <vt:lpstr>Таблица 14</vt:lpstr>
      <vt:lpstr>Таблица 15</vt:lpstr>
      <vt:lpstr>Таблица 16</vt:lpstr>
      <vt:lpstr>Таблица 17</vt:lpstr>
      <vt:lpstr>Таблица 18</vt:lpstr>
      <vt:lpstr>Таблица 19</vt:lpstr>
      <vt:lpstr>'Таблица 1'!Область_печати</vt:lpstr>
      <vt:lpstr>'Таблица 10'!Область_печати</vt:lpstr>
      <vt:lpstr>'Таблица 11'!Область_печати</vt:lpstr>
      <vt:lpstr>'Таблица 12'!Область_печати</vt:lpstr>
      <vt:lpstr>'Таблица 13'!Область_печати</vt:lpstr>
      <vt:lpstr>'Таблица 14'!Область_печати</vt:lpstr>
      <vt:lpstr>'Таблица 15'!Область_печати</vt:lpstr>
      <vt:lpstr>'Таблица 16'!Область_печати</vt:lpstr>
      <vt:lpstr>'Таблица 17'!Область_печати</vt:lpstr>
      <vt:lpstr>'Таблица 18'!Область_печати</vt:lpstr>
      <vt:lpstr>'Таблица 19'!Область_печати</vt:lpstr>
      <vt:lpstr>'Таблица 2'!Область_печати</vt:lpstr>
      <vt:lpstr>'Таблица 3'!Область_печати</vt:lpstr>
      <vt:lpstr>'Таблица 4'!Область_печати</vt:lpstr>
      <vt:lpstr>'Таблица 5'!Область_печати</vt:lpstr>
      <vt:lpstr>'Таблица 6'!Область_печати</vt:lpstr>
      <vt:lpstr>'Таблица 7'!Область_печати</vt:lpstr>
      <vt:lpstr>'Таблица 8'!Область_печати</vt:lpstr>
      <vt:lpstr>'Таблица 9'!Область_печати</vt:lpstr>
    </vt:vector>
  </TitlesOfParts>
  <Company>ag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pyzhik</cp:lastModifiedBy>
  <cp:lastPrinted>2013-03-09T14:24:28Z</cp:lastPrinted>
  <dcterms:created xsi:type="dcterms:W3CDTF">2011-03-10T10:20:28Z</dcterms:created>
  <dcterms:modified xsi:type="dcterms:W3CDTF">2013-04-19T13:52:26Z</dcterms:modified>
</cp:coreProperties>
</file>