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 codeName="{8C4F1C90-05EB-6A55-5F09-09C24B55AC0B}"/>
  <workbookPr codeName="ЭтаКнига" defaultThemeVersion="124226"/>
  <bookViews>
    <workbookView xWindow="-105" yWindow="-105" windowWidth="20580" windowHeight="11640" tabRatio="791"/>
  </bookViews>
  <sheets>
    <sheet name="Инструкция" sheetId="1" r:id="rId1"/>
    <sheet name="Калькулятор №1" sheetId="2" r:id="rId2"/>
    <sheet name="Калькулятор № 2" sheetId="3" r:id="rId3"/>
  </sheets>
  <definedNames>
    <definedName name="_xlnm.Print_Area" localSheetId="0">Инструкция!$B$2:$M$15</definedName>
    <definedName name="_xlnm.Print_Area" localSheetId="2">'Калькулятор № 2'!$B$2:$R$32</definedName>
    <definedName name="_xlnm.Print_Area" localSheetId="1">'Калькулятор №1'!$B$2:$R$392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" i="3" l="1"/>
  <c r="W22" i="3"/>
  <c r="W24" i="3"/>
  <c r="W26" i="3"/>
  <c r="W28" i="3"/>
  <c r="W30" i="3"/>
  <c r="V238" i="2"/>
  <c r="V240" i="2"/>
  <c r="V242" i="2"/>
  <c r="V244" i="2"/>
  <c r="V246" i="2"/>
  <c r="V248" i="2"/>
  <c r="V250" i="2"/>
  <c r="V252" i="2"/>
  <c r="V254" i="2"/>
  <c r="V256" i="2"/>
  <c r="V258" i="2"/>
  <c r="V260" i="2"/>
  <c r="V262" i="2"/>
  <c r="V264" i="2"/>
  <c r="V266" i="2"/>
  <c r="V268" i="2"/>
  <c r="V270" i="2"/>
  <c r="V272" i="2"/>
  <c r="V274" i="2"/>
  <c r="V276" i="2"/>
  <c r="V278" i="2"/>
  <c r="V280" i="2"/>
  <c r="V282" i="2"/>
  <c r="V284" i="2"/>
  <c r="V286" i="2"/>
  <c r="V288" i="2"/>
  <c r="V290" i="2"/>
  <c r="V292" i="2"/>
  <c r="V294" i="2"/>
  <c r="V296" i="2"/>
  <c r="V298" i="2"/>
  <c r="V300" i="2"/>
  <c r="V302" i="2"/>
  <c r="V304" i="2"/>
  <c r="V306" i="2"/>
  <c r="V308" i="2"/>
  <c r="V310" i="2"/>
  <c r="V312" i="2"/>
  <c r="V314" i="2"/>
  <c r="V316" i="2"/>
  <c r="V318" i="2"/>
  <c r="V320" i="2"/>
  <c r="V321" i="2"/>
  <c r="V322" i="2"/>
  <c r="V324" i="2"/>
  <c r="V326" i="2"/>
  <c r="V328" i="2"/>
  <c r="V330" i="2"/>
  <c r="V332" i="2"/>
  <c r="V334" i="2"/>
  <c r="V336" i="2"/>
  <c r="V338" i="2"/>
  <c r="V340" i="2"/>
  <c r="V342" i="2"/>
  <c r="V344" i="2"/>
  <c r="V346" i="2"/>
  <c r="V348" i="2"/>
  <c r="V350" i="2"/>
  <c r="V352" i="2"/>
  <c r="V354" i="2"/>
  <c r="V356" i="2"/>
  <c r="V358" i="2"/>
  <c r="V360" i="2"/>
  <c r="V362" i="2"/>
  <c r="V364" i="2"/>
  <c r="V366" i="2"/>
  <c r="V368" i="2"/>
  <c r="V370" i="2"/>
  <c r="V372" i="2"/>
  <c r="V374" i="2"/>
  <c r="V376" i="2"/>
  <c r="V377" i="2"/>
  <c r="V378" i="2"/>
  <c r="V380" i="2"/>
  <c r="V382" i="2"/>
  <c r="V384" i="2"/>
  <c r="V386" i="2"/>
  <c r="V388" i="2"/>
  <c r="V390" i="2"/>
  <c r="AC398" i="2" l="1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J405" i="2"/>
  <c r="AJ397" i="2"/>
  <c r="S293" i="2" l="1"/>
  <c r="U20" i="3"/>
  <c r="V20" i="3" s="1"/>
  <c r="U22" i="3"/>
  <c r="V22" i="3" s="1"/>
  <c r="U24" i="3"/>
  <c r="V24" i="3" s="1"/>
  <c r="U26" i="3"/>
  <c r="V26" i="3" s="1"/>
  <c r="U28" i="3"/>
  <c r="V28" i="3" s="1"/>
  <c r="U30" i="3"/>
  <c r="V30" i="3" s="1"/>
  <c r="T31" i="3"/>
  <c r="U31" i="3" s="1"/>
  <c r="T29" i="3"/>
  <c r="U29" i="3" s="1"/>
  <c r="V29" i="3" s="1"/>
  <c r="T27" i="3"/>
  <c r="U27" i="3" s="1"/>
  <c r="V27" i="3" s="1"/>
  <c r="T25" i="3"/>
  <c r="T23" i="3"/>
  <c r="U23" i="3" s="1"/>
  <c r="T21" i="3"/>
  <c r="U21" i="3" s="1"/>
  <c r="T19" i="3"/>
  <c r="U19" i="3" s="1"/>
  <c r="S7" i="3"/>
  <c r="T238" i="2"/>
  <c r="U238" i="2" s="1"/>
  <c r="T240" i="2"/>
  <c r="U240" i="2" s="1"/>
  <c r="T242" i="2"/>
  <c r="U242" i="2" s="1"/>
  <c r="T244" i="2"/>
  <c r="U244" i="2" s="1"/>
  <c r="T246" i="2"/>
  <c r="U246" i="2" s="1"/>
  <c r="T248" i="2"/>
  <c r="U248" i="2" s="1"/>
  <c r="T250" i="2"/>
  <c r="U250" i="2" s="1"/>
  <c r="T252" i="2"/>
  <c r="U252" i="2" s="1"/>
  <c r="T254" i="2"/>
  <c r="U254" i="2" s="1"/>
  <c r="T256" i="2"/>
  <c r="U256" i="2" s="1"/>
  <c r="T258" i="2"/>
  <c r="U258" i="2" s="1"/>
  <c r="T260" i="2"/>
  <c r="U260" i="2" s="1"/>
  <c r="T262" i="2"/>
  <c r="U262" i="2" s="1"/>
  <c r="T264" i="2"/>
  <c r="U264" i="2" s="1"/>
  <c r="T266" i="2"/>
  <c r="U266" i="2" s="1"/>
  <c r="T268" i="2"/>
  <c r="U268" i="2" s="1"/>
  <c r="T270" i="2"/>
  <c r="U270" i="2" s="1"/>
  <c r="T272" i="2"/>
  <c r="U272" i="2" s="1"/>
  <c r="T274" i="2"/>
  <c r="U274" i="2" s="1"/>
  <c r="T276" i="2"/>
  <c r="U276" i="2" s="1"/>
  <c r="T278" i="2"/>
  <c r="U278" i="2" s="1"/>
  <c r="T280" i="2"/>
  <c r="U280" i="2" s="1"/>
  <c r="T282" i="2"/>
  <c r="U282" i="2" s="1"/>
  <c r="T284" i="2"/>
  <c r="U284" i="2" s="1"/>
  <c r="T286" i="2"/>
  <c r="U286" i="2" s="1"/>
  <c r="T288" i="2"/>
  <c r="U288" i="2" s="1"/>
  <c r="T290" i="2"/>
  <c r="U290" i="2" s="1"/>
  <c r="T292" i="2"/>
  <c r="U292" i="2" s="1"/>
  <c r="T294" i="2"/>
  <c r="U294" i="2" s="1"/>
  <c r="T296" i="2"/>
  <c r="U296" i="2" s="1"/>
  <c r="T298" i="2"/>
  <c r="U298" i="2" s="1"/>
  <c r="T300" i="2"/>
  <c r="U300" i="2" s="1"/>
  <c r="T302" i="2"/>
  <c r="U302" i="2" s="1"/>
  <c r="T304" i="2"/>
  <c r="U304" i="2" s="1"/>
  <c r="T306" i="2"/>
  <c r="U306" i="2" s="1"/>
  <c r="T308" i="2"/>
  <c r="U308" i="2" s="1"/>
  <c r="T310" i="2"/>
  <c r="U310" i="2" s="1"/>
  <c r="T312" i="2"/>
  <c r="U312" i="2" s="1"/>
  <c r="T314" i="2"/>
  <c r="U314" i="2" s="1"/>
  <c r="T316" i="2"/>
  <c r="U316" i="2" s="1"/>
  <c r="T318" i="2"/>
  <c r="U318" i="2" s="1"/>
  <c r="T320" i="2"/>
  <c r="U320" i="2" s="1"/>
  <c r="T322" i="2"/>
  <c r="U322" i="2" s="1"/>
  <c r="T324" i="2"/>
  <c r="U324" i="2" s="1"/>
  <c r="T326" i="2"/>
  <c r="U326" i="2" s="1"/>
  <c r="T328" i="2"/>
  <c r="U328" i="2" s="1"/>
  <c r="T330" i="2"/>
  <c r="U330" i="2" s="1"/>
  <c r="T332" i="2"/>
  <c r="U332" i="2" s="1"/>
  <c r="T334" i="2"/>
  <c r="U334" i="2" s="1"/>
  <c r="T336" i="2"/>
  <c r="U336" i="2" s="1"/>
  <c r="T338" i="2"/>
  <c r="U338" i="2" s="1"/>
  <c r="T340" i="2"/>
  <c r="U340" i="2" s="1"/>
  <c r="T342" i="2"/>
  <c r="U342" i="2" s="1"/>
  <c r="T344" i="2"/>
  <c r="U344" i="2" s="1"/>
  <c r="T346" i="2"/>
  <c r="U346" i="2" s="1"/>
  <c r="T348" i="2"/>
  <c r="U348" i="2" s="1"/>
  <c r="T350" i="2"/>
  <c r="U350" i="2" s="1"/>
  <c r="T352" i="2"/>
  <c r="U352" i="2" s="1"/>
  <c r="T354" i="2"/>
  <c r="U354" i="2" s="1"/>
  <c r="T356" i="2"/>
  <c r="U356" i="2" s="1"/>
  <c r="T358" i="2"/>
  <c r="U358" i="2" s="1"/>
  <c r="T360" i="2"/>
  <c r="U360" i="2" s="1"/>
  <c r="T362" i="2"/>
  <c r="U362" i="2" s="1"/>
  <c r="T364" i="2"/>
  <c r="U364" i="2" s="1"/>
  <c r="T366" i="2"/>
  <c r="U366" i="2" s="1"/>
  <c r="T368" i="2"/>
  <c r="U368" i="2" s="1"/>
  <c r="T370" i="2"/>
  <c r="U370" i="2" s="1"/>
  <c r="T372" i="2"/>
  <c r="U372" i="2" s="1"/>
  <c r="T374" i="2"/>
  <c r="U374" i="2" s="1"/>
  <c r="T376" i="2"/>
  <c r="U376" i="2" s="1"/>
  <c r="T377" i="2"/>
  <c r="U377" i="2" s="1"/>
  <c r="T378" i="2"/>
  <c r="U378" i="2" s="1"/>
  <c r="T380" i="2"/>
  <c r="U380" i="2" s="1"/>
  <c r="T382" i="2"/>
  <c r="U382" i="2" s="1"/>
  <c r="T384" i="2"/>
  <c r="U384" i="2" s="1"/>
  <c r="T386" i="2"/>
  <c r="U386" i="2" s="1"/>
  <c r="T388" i="2"/>
  <c r="U388" i="2" s="1"/>
  <c r="T390" i="2"/>
  <c r="U390" i="2" s="1"/>
  <c r="W27" i="3" l="1"/>
  <c r="X27" i="3" s="1"/>
  <c r="P27" i="3" s="1"/>
  <c r="W29" i="3"/>
  <c r="X29" i="3" s="1"/>
  <c r="P29" i="3" s="1"/>
  <c r="V23" i="3"/>
  <c r="V21" i="3"/>
  <c r="V31" i="3"/>
  <c r="U25" i="3"/>
  <c r="V25" i="3" s="1"/>
  <c r="X30" i="3"/>
  <c r="X28" i="3"/>
  <c r="X26" i="3"/>
  <c r="X24" i="3"/>
  <c r="X22" i="3"/>
  <c r="X20" i="3"/>
  <c r="V19" i="3"/>
  <c r="W377" i="2"/>
  <c r="W390" i="2"/>
  <c r="W388" i="2"/>
  <c r="W386" i="2"/>
  <c r="W384" i="2"/>
  <c r="W382" i="2"/>
  <c r="W380" i="2"/>
  <c r="W378" i="2"/>
  <c r="W376" i="2"/>
  <c r="W374" i="2"/>
  <c r="W372" i="2"/>
  <c r="W370" i="2"/>
  <c r="W368" i="2"/>
  <c r="W366" i="2"/>
  <c r="W364" i="2"/>
  <c r="W362" i="2"/>
  <c r="W360" i="2"/>
  <c r="W358" i="2"/>
  <c r="W356" i="2"/>
  <c r="W354" i="2"/>
  <c r="W352" i="2"/>
  <c r="W350" i="2"/>
  <c r="W348" i="2"/>
  <c r="W346" i="2"/>
  <c r="W344" i="2"/>
  <c r="W342" i="2"/>
  <c r="W340" i="2"/>
  <c r="W338" i="2"/>
  <c r="W336" i="2"/>
  <c r="W334" i="2"/>
  <c r="W332" i="2"/>
  <c r="W330" i="2"/>
  <c r="W328" i="2"/>
  <c r="W326" i="2"/>
  <c r="W324" i="2"/>
  <c r="W322" i="2"/>
  <c r="W320" i="2"/>
  <c r="W318" i="2"/>
  <c r="W316" i="2"/>
  <c r="W314" i="2"/>
  <c r="W312" i="2"/>
  <c r="W310" i="2"/>
  <c r="W308" i="2"/>
  <c r="W306" i="2"/>
  <c r="W304" i="2"/>
  <c r="W302" i="2"/>
  <c r="W300" i="2"/>
  <c r="W298" i="2"/>
  <c r="W296" i="2"/>
  <c r="W294" i="2"/>
  <c r="W292" i="2"/>
  <c r="W290" i="2"/>
  <c r="W288" i="2"/>
  <c r="W286" i="2"/>
  <c r="W284" i="2"/>
  <c r="W282" i="2"/>
  <c r="W280" i="2"/>
  <c r="W278" i="2"/>
  <c r="W276" i="2"/>
  <c r="W274" i="2"/>
  <c r="W272" i="2"/>
  <c r="W270" i="2"/>
  <c r="W268" i="2"/>
  <c r="W266" i="2"/>
  <c r="W264" i="2"/>
  <c r="W262" i="2"/>
  <c r="W260" i="2"/>
  <c r="W258" i="2"/>
  <c r="W256" i="2"/>
  <c r="W254" i="2"/>
  <c r="W252" i="2"/>
  <c r="W250" i="2"/>
  <c r="W248" i="2"/>
  <c r="W246" i="2"/>
  <c r="W244" i="2"/>
  <c r="W242" i="2"/>
  <c r="W240" i="2"/>
  <c r="W238" i="2"/>
  <c r="W25" i="3" l="1"/>
  <c r="X25" i="3" s="1"/>
  <c r="P25" i="3" s="1"/>
  <c r="W19" i="3"/>
  <c r="X19" i="3" s="1"/>
  <c r="P19" i="3" s="1"/>
  <c r="W21" i="3"/>
  <c r="X21" i="3" s="1"/>
  <c r="P21" i="3" s="1"/>
  <c r="W3" i="3" s="1"/>
  <c r="W23" i="3"/>
  <c r="X23" i="3" s="1"/>
  <c r="P23" i="3" s="1"/>
  <c r="W31" i="3"/>
  <c r="X31" i="3" s="1"/>
  <c r="P31" i="3" s="1"/>
  <c r="AC396" i="2"/>
  <c r="S389" i="2" s="1"/>
  <c r="AJ545" i="2" l="1"/>
  <c r="AJ544" i="2"/>
  <c r="AJ543" i="2"/>
  <c r="AJ542" i="2"/>
  <c r="AJ541" i="2"/>
  <c r="AJ540" i="2"/>
  <c r="AJ539" i="2"/>
  <c r="AJ538" i="2"/>
  <c r="AJ537" i="2"/>
  <c r="AJ536" i="2"/>
  <c r="AJ535" i="2"/>
  <c r="AJ534" i="2"/>
  <c r="AJ533" i="2"/>
  <c r="AJ532" i="2"/>
  <c r="AJ531" i="2"/>
  <c r="AJ530" i="2"/>
  <c r="AJ529" i="2"/>
  <c r="AJ528" i="2"/>
  <c r="AJ527" i="2"/>
  <c r="AJ526" i="2"/>
  <c r="AJ525" i="2"/>
  <c r="AJ524" i="2"/>
  <c r="AJ523" i="2"/>
  <c r="AJ522" i="2"/>
  <c r="AJ521" i="2"/>
  <c r="AJ520" i="2"/>
  <c r="AJ519" i="2"/>
  <c r="AJ518" i="2"/>
  <c r="AJ517" i="2"/>
  <c r="AJ516" i="2"/>
  <c r="AJ515" i="2"/>
  <c r="AJ514" i="2"/>
  <c r="AJ513" i="2"/>
  <c r="AJ512" i="2"/>
  <c r="AJ511" i="2"/>
  <c r="AJ510" i="2"/>
  <c r="AJ509" i="2"/>
  <c r="AJ508" i="2"/>
  <c r="AJ507" i="2"/>
  <c r="AJ506" i="2"/>
  <c r="AJ505" i="2"/>
  <c r="AJ504" i="2"/>
  <c r="AJ503" i="2"/>
  <c r="AJ502" i="2"/>
  <c r="AJ501" i="2"/>
  <c r="AJ500" i="2"/>
  <c r="AJ499" i="2"/>
  <c r="AJ498" i="2"/>
  <c r="AJ497" i="2"/>
  <c r="AJ496" i="2"/>
  <c r="AJ495" i="2"/>
  <c r="AJ494" i="2"/>
  <c r="AJ493" i="2"/>
  <c r="AJ492" i="2"/>
  <c r="AJ491" i="2"/>
  <c r="AJ490" i="2"/>
  <c r="AJ489" i="2"/>
  <c r="AJ488" i="2"/>
  <c r="AJ487" i="2"/>
  <c r="AJ486" i="2"/>
  <c r="AJ485" i="2"/>
  <c r="AJ484" i="2"/>
  <c r="AJ483" i="2"/>
  <c r="AJ482" i="2"/>
  <c r="AJ481" i="2"/>
  <c r="AJ480" i="2"/>
  <c r="AJ479" i="2"/>
  <c r="AJ478" i="2"/>
  <c r="AJ477" i="2"/>
  <c r="AJ476" i="2"/>
  <c r="AJ475" i="2"/>
  <c r="AJ474" i="2"/>
  <c r="AJ473" i="2"/>
  <c r="AJ472" i="2"/>
  <c r="AJ471" i="2"/>
  <c r="AJ470" i="2"/>
  <c r="AJ469" i="2"/>
  <c r="AJ468" i="2"/>
  <c r="AJ467" i="2"/>
  <c r="AJ466" i="2"/>
  <c r="AJ465" i="2"/>
  <c r="AJ464" i="2"/>
  <c r="AJ463" i="2"/>
  <c r="AJ462" i="2"/>
  <c r="AJ461" i="2"/>
  <c r="AJ460" i="2"/>
  <c r="AJ459" i="2"/>
  <c r="AJ458" i="2"/>
  <c r="AJ457" i="2"/>
  <c r="AJ456" i="2"/>
  <c r="AJ455" i="2"/>
  <c r="AJ454" i="2"/>
  <c r="AJ453" i="2"/>
  <c r="AJ452" i="2"/>
  <c r="AJ451" i="2"/>
  <c r="AJ450" i="2"/>
  <c r="AJ449" i="2"/>
  <c r="AJ448" i="2"/>
  <c r="AJ447" i="2"/>
  <c r="AJ446" i="2"/>
  <c r="AJ445" i="2"/>
  <c r="AJ444" i="2"/>
  <c r="AJ443" i="2"/>
  <c r="AJ442" i="2"/>
  <c r="AJ441" i="2"/>
  <c r="AJ440" i="2"/>
  <c r="AJ439" i="2"/>
  <c r="AJ438" i="2"/>
  <c r="AJ437" i="2"/>
  <c r="AJ436" i="2"/>
  <c r="AJ435" i="2"/>
  <c r="AJ434" i="2"/>
  <c r="AJ433" i="2"/>
  <c r="AJ432" i="2"/>
  <c r="AJ431" i="2"/>
  <c r="AJ430" i="2"/>
  <c r="AJ429" i="2"/>
  <c r="AJ428" i="2"/>
  <c r="AJ427" i="2"/>
  <c r="AJ426" i="2"/>
  <c r="AJ425" i="2"/>
  <c r="AJ424" i="2"/>
  <c r="AJ423" i="2"/>
  <c r="AJ422" i="2"/>
  <c r="AJ421" i="2"/>
  <c r="AJ420" i="2"/>
  <c r="AJ419" i="2"/>
  <c r="AJ418" i="2"/>
  <c r="AJ417" i="2"/>
  <c r="AJ416" i="2"/>
  <c r="AJ415" i="2"/>
  <c r="AJ414" i="2"/>
  <c r="AJ413" i="2"/>
  <c r="AJ412" i="2"/>
  <c r="AJ411" i="2"/>
  <c r="AJ410" i="2"/>
  <c r="AJ409" i="2"/>
  <c r="AJ408" i="2"/>
  <c r="AJ407" i="2"/>
  <c r="AJ406" i="2"/>
  <c r="AJ404" i="2"/>
  <c r="AJ403" i="2"/>
  <c r="AJ402" i="2"/>
  <c r="AJ401" i="2"/>
  <c r="AJ400" i="2"/>
  <c r="AJ399" i="2"/>
  <c r="AJ398" i="2"/>
  <c r="AC397" i="2"/>
  <c r="S15" i="2"/>
  <c r="S13" i="2"/>
  <c r="S11" i="2"/>
  <c r="S9" i="2"/>
  <c r="S7" i="2"/>
  <c r="AJ383" i="2"/>
  <c r="AJ388" i="2"/>
  <c r="AJ387" i="2"/>
  <c r="AJ386" i="2"/>
  <c r="AJ385" i="2"/>
  <c r="AB383" i="2"/>
  <c r="AB394" i="2"/>
  <c r="AB393" i="2"/>
  <c r="AB392" i="2"/>
  <c r="AB391" i="2"/>
  <c r="AB390" i="2"/>
  <c r="AB389" i="2"/>
  <c r="AB388" i="2"/>
  <c r="AB387" i="2"/>
  <c r="AB386" i="2"/>
  <c r="AB385" i="2"/>
  <c r="T389" i="2" l="1"/>
  <c r="U389" i="2" s="1"/>
  <c r="S391" i="2"/>
  <c r="S387" i="2"/>
  <c r="T387" i="2" s="1"/>
  <c r="S385" i="2"/>
  <c r="T385" i="2" s="1"/>
  <c r="W389" i="2" l="1"/>
  <c r="P389" i="2" s="1"/>
  <c r="H389" i="2" s="1"/>
  <c r="V389" i="2"/>
  <c r="U385" i="2"/>
  <c r="U387" i="2"/>
  <c r="T391" i="2"/>
  <c r="U391" i="2" s="1"/>
  <c r="AD7" i="2"/>
  <c r="AD15" i="2"/>
  <c r="AD13" i="2"/>
  <c r="AD11" i="2"/>
  <c r="AD9" i="2"/>
  <c r="V391" i="2" l="1"/>
  <c r="W391" i="2" s="1"/>
  <c r="P391" i="2" s="1"/>
  <c r="H391" i="2" s="1"/>
  <c r="V387" i="2"/>
  <c r="W387" i="2" s="1"/>
  <c r="P387" i="2" s="1"/>
  <c r="H387" i="2" s="1"/>
  <c r="V385" i="2"/>
  <c r="W385" i="2" s="1"/>
  <c r="P385" i="2" s="1"/>
  <c r="H385" i="2" s="1"/>
  <c r="AD16" i="2"/>
  <c r="S251" i="2" s="1"/>
  <c r="T251" i="2" s="1"/>
  <c r="U251" i="2" l="1"/>
  <c r="S263" i="2"/>
  <c r="T263" i="2" s="1"/>
  <c r="S265" i="2"/>
  <c r="T265" i="2" s="1"/>
  <c r="S253" i="2"/>
  <c r="T253" i="2" s="1"/>
  <c r="S245" i="2"/>
  <c r="T245" i="2" s="1"/>
  <c r="S381" i="2"/>
  <c r="T381" i="2" s="1"/>
  <c r="S243" i="2"/>
  <c r="T243" i="2" s="1"/>
  <c r="S375" i="2"/>
  <c r="T375" i="2" s="1"/>
  <c r="S379" i="2"/>
  <c r="T379" i="2" s="1"/>
  <c r="S241" i="2"/>
  <c r="T241" i="2" s="1"/>
  <c r="S373" i="2"/>
  <c r="T373" i="2" s="1"/>
  <c r="S239" i="2"/>
  <c r="T239" i="2" s="1"/>
  <c r="S237" i="2"/>
  <c r="S383" i="2"/>
  <c r="T383" i="2" s="1"/>
  <c r="S371" i="2"/>
  <c r="T371" i="2" s="1"/>
  <c r="S355" i="2"/>
  <c r="T355" i="2" s="1"/>
  <c r="S339" i="2"/>
  <c r="T339" i="2" s="1"/>
  <c r="S369" i="2"/>
  <c r="T369" i="2" s="1"/>
  <c r="S327" i="2"/>
  <c r="T327" i="2" s="1"/>
  <c r="S351" i="2"/>
  <c r="T351" i="2" s="1"/>
  <c r="S337" i="2"/>
  <c r="T337" i="2" s="1"/>
  <c r="S349" i="2"/>
  <c r="T349" i="2" s="1"/>
  <c r="S347" i="2"/>
  <c r="T347" i="2" s="1"/>
  <c r="S331" i="2"/>
  <c r="T331" i="2" s="1"/>
  <c r="S329" i="2"/>
  <c r="T329" i="2" s="1"/>
  <c r="S353" i="2"/>
  <c r="T353" i="2" s="1"/>
  <c r="S365" i="2"/>
  <c r="T365" i="2" s="1"/>
  <c r="S335" i="2"/>
  <c r="T335" i="2" s="1"/>
  <c r="S361" i="2"/>
  <c r="T361" i="2" s="1"/>
  <c r="S343" i="2"/>
  <c r="T343" i="2" s="1"/>
  <c r="S357" i="2"/>
  <c r="T357" i="2" s="1"/>
  <c r="S367" i="2"/>
  <c r="T367" i="2" s="1"/>
  <c r="S333" i="2"/>
  <c r="T333" i="2" s="1"/>
  <c r="S359" i="2"/>
  <c r="T359" i="2" s="1"/>
  <c r="S363" i="2"/>
  <c r="T363" i="2" s="1"/>
  <c r="S345" i="2"/>
  <c r="T345" i="2" s="1"/>
  <c r="S341" i="2"/>
  <c r="T341" i="2" s="1"/>
  <c r="S325" i="2"/>
  <c r="T325" i="2" s="1"/>
  <c r="S307" i="2"/>
  <c r="T307" i="2" s="1"/>
  <c r="S305" i="2"/>
  <c r="T305" i="2" s="1"/>
  <c r="S319" i="2"/>
  <c r="T319" i="2" s="1"/>
  <c r="S301" i="2"/>
  <c r="T301" i="2" s="1"/>
  <c r="S311" i="2"/>
  <c r="T311" i="2" s="1"/>
  <c r="S309" i="2"/>
  <c r="T309" i="2" s="1"/>
  <c r="S323" i="2"/>
  <c r="T323" i="2" s="1"/>
  <c r="S313" i="2"/>
  <c r="T313" i="2" s="1"/>
  <c r="S303" i="2"/>
  <c r="T303" i="2" s="1"/>
  <c r="S317" i="2"/>
  <c r="T317" i="2" s="1"/>
  <c r="S315" i="2"/>
  <c r="T315" i="2" s="1"/>
  <c r="S297" i="2"/>
  <c r="T297" i="2" s="1"/>
  <c r="S295" i="2"/>
  <c r="T295" i="2" s="1"/>
  <c r="T293" i="2"/>
  <c r="S291" i="2"/>
  <c r="T291" i="2" s="1"/>
  <c r="S289" i="2"/>
  <c r="T289" i="2" s="1"/>
  <c r="S287" i="2"/>
  <c r="T287" i="2" s="1"/>
  <c r="S283" i="2"/>
  <c r="T283" i="2" s="1"/>
  <c r="S299" i="2"/>
  <c r="T299" i="2" s="1"/>
  <c r="S285" i="2"/>
  <c r="T285" i="2" s="1"/>
  <c r="S279" i="2"/>
  <c r="T279" i="2" s="1"/>
  <c r="S281" i="2"/>
  <c r="T281" i="2" s="1"/>
  <c r="S275" i="2"/>
  <c r="T275" i="2" s="1"/>
  <c r="S273" i="2"/>
  <c r="T273" i="2" s="1"/>
  <c r="S271" i="2"/>
  <c r="T271" i="2" s="1"/>
  <c r="S277" i="2"/>
  <c r="T277" i="2" s="1"/>
  <c r="S257" i="2"/>
  <c r="T257" i="2" s="1"/>
  <c r="S261" i="2"/>
  <c r="T261" i="2" s="1"/>
  <c r="S247" i="2"/>
  <c r="T247" i="2" s="1"/>
  <c r="S249" i="2"/>
  <c r="T249" i="2" s="1"/>
  <c r="S255" i="2"/>
  <c r="T255" i="2" s="1"/>
  <c r="S267" i="2"/>
  <c r="T267" i="2" s="1"/>
  <c r="S259" i="2"/>
  <c r="T259" i="2" s="1"/>
  <c r="S269" i="2"/>
  <c r="T269" i="2" s="1"/>
  <c r="V251" i="2" l="1"/>
  <c r="W251" i="2" s="1"/>
  <c r="P251" i="2" s="1"/>
  <c r="U325" i="2"/>
  <c r="U343" i="2"/>
  <c r="U349" i="2"/>
  <c r="U383" i="2"/>
  <c r="U381" i="2"/>
  <c r="U259" i="2"/>
  <c r="U307" i="2"/>
  <c r="U243" i="2"/>
  <c r="U267" i="2"/>
  <c r="U255" i="2"/>
  <c r="U275" i="2"/>
  <c r="U291" i="2"/>
  <c r="U323" i="2"/>
  <c r="U341" i="2"/>
  <c r="U361" i="2"/>
  <c r="U337" i="2"/>
  <c r="T237" i="2"/>
  <c r="U237" i="2" s="1"/>
  <c r="U245" i="2"/>
  <c r="U371" i="2"/>
  <c r="U273" i="2"/>
  <c r="U289" i="2"/>
  <c r="U313" i="2"/>
  <c r="U249" i="2"/>
  <c r="U281" i="2"/>
  <c r="U293" i="2"/>
  <c r="U309" i="2"/>
  <c r="U345" i="2"/>
  <c r="U335" i="2"/>
  <c r="U351" i="2"/>
  <c r="U239" i="2"/>
  <c r="U253" i="2"/>
  <c r="U373" i="2"/>
  <c r="U265" i="2"/>
  <c r="U271" i="2"/>
  <c r="U295" i="2"/>
  <c r="U311" i="2"/>
  <c r="U365" i="2"/>
  <c r="U285" i="2"/>
  <c r="U297" i="2"/>
  <c r="U301" i="2"/>
  <c r="U359" i="2"/>
  <c r="U353" i="2"/>
  <c r="U369" i="2"/>
  <c r="U241" i="2"/>
  <c r="U263" i="2"/>
  <c r="U303" i="2"/>
  <c r="U347" i="2"/>
  <c r="U279" i="2"/>
  <c r="U327" i="2"/>
  <c r="U261" i="2"/>
  <c r="U299" i="2"/>
  <c r="U329" i="2"/>
  <c r="U339" i="2"/>
  <c r="U379" i="2"/>
  <c r="U287" i="2"/>
  <c r="U357" i="2"/>
  <c r="U247" i="2"/>
  <c r="U363" i="2"/>
  <c r="U257" i="2"/>
  <c r="U315" i="2"/>
  <c r="U319" i="2"/>
  <c r="U333" i="2"/>
  <c r="U269" i="2"/>
  <c r="U277" i="2"/>
  <c r="U283" i="2"/>
  <c r="U317" i="2"/>
  <c r="U305" i="2"/>
  <c r="U367" i="2"/>
  <c r="U331" i="2"/>
  <c r="U355" i="2"/>
  <c r="U375" i="2"/>
  <c r="V355" i="2" l="1"/>
  <c r="W355" i="2" s="1"/>
  <c r="P355" i="2" s="1"/>
  <c r="V333" i="2"/>
  <c r="W333" i="2" s="1"/>
  <c r="P333" i="2" s="1"/>
  <c r="V379" i="2"/>
  <c r="W379" i="2" s="1"/>
  <c r="P379" i="2" s="1"/>
  <c r="V303" i="2"/>
  <c r="W303" i="2" s="1"/>
  <c r="P303" i="2" s="1"/>
  <c r="V285" i="2"/>
  <c r="W285" i="2" s="1"/>
  <c r="P285" i="2" s="1"/>
  <c r="V239" i="2"/>
  <c r="W239" i="2" s="1"/>
  <c r="P239" i="2" s="1"/>
  <c r="V313" i="2"/>
  <c r="W313" i="2" s="1"/>
  <c r="P313" i="2" s="1"/>
  <c r="V341" i="2"/>
  <c r="W341" i="2" s="1"/>
  <c r="P341" i="2" s="1"/>
  <c r="V259" i="2"/>
  <c r="W259" i="2" s="1"/>
  <c r="P259" i="2" s="1"/>
  <c r="V263" i="2"/>
  <c r="W263" i="2" s="1"/>
  <c r="P263" i="2" s="1"/>
  <c r="V315" i="2"/>
  <c r="W315" i="2" s="1"/>
  <c r="P315" i="2" s="1"/>
  <c r="V311" i="2"/>
  <c r="W311" i="2" s="1"/>
  <c r="P311" i="2" s="1"/>
  <c r="V335" i="2"/>
  <c r="W335" i="2" s="1"/>
  <c r="P335" i="2" s="1"/>
  <c r="V273" i="2"/>
  <c r="W273" i="2" s="1"/>
  <c r="P273" i="2" s="1"/>
  <c r="V291" i="2"/>
  <c r="W291" i="2" s="1"/>
  <c r="P291" i="2" s="1"/>
  <c r="V383" i="2"/>
  <c r="W383" i="2" s="1"/>
  <c r="P383" i="2" s="1"/>
  <c r="V319" i="2"/>
  <c r="W319" i="2" s="1"/>
  <c r="P319" i="2" s="1"/>
  <c r="V381" i="2"/>
  <c r="W381" i="2" s="1"/>
  <c r="P381" i="2" s="1"/>
  <c r="V305" i="2"/>
  <c r="W305" i="2" s="1"/>
  <c r="P305" i="2" s="1"/>
  <c r="V299" i="2"/>
  <c r="W299" i="2" s="1"/>
  <c r="P299" i="2" s="1"/>
  <c r="V369" i="2"/>
  <c r="W369" i="2" s="1"/>
  <c r="P369" i="2" s="1"/>
  <c r="V295" i="2"/>
  <c r="W295" i="2" s="1"/>
  <c r="P295" i="2" s="1"/>
  <c r="V345" i="2"/>
  <c r="W345" i="2" s="1"/>
  <c r="P345" i="2" s="1"/>
  <c r="V371" i="2"/>
  <c r="W371" i="2" s="1"/>
  <c r="P371" i="2" s="1"/>
  <c r="V275" i="2"/>
  <c r="W275" i="2" s="1"/>
  <c r="P275" i="2" s="1"/>
  <c r="V349" i="2"/>
  <c r="W349" i="2" s="1"/>
  <c r="P349" i="2" s="1"/>
  <c r="V323" i="2"/>
  <c r="W323" i="2" s="1"/>
  <c r="P323" i="2" s="1"/>
  <c r="V317" i="2"/>
  <c r="W317" i="2" s="1"/>
  <c r="P317" i="2" s="1"/>
  <c r="V353" i="2"/>
  <c r="W353" i="2" s="1"/>
  <c r="P353" i="2" s="1"/>
  <c r="V271" i="2"/>
  <c r="W271" i="2" s="1"/>
  <c r="P271" i="2" s="1"/>
  <c r="V309" i="2"/>
  <c r="W309" i="2" s="1"/>
  <c r="P309" i="2" s="1"/>
  <c r="V245" i="2"/>
  <c r="W245" i="2" s="1"/>
  <c r="P245" i="2" s="1"/>
  <c r="V255" i="2"/>
  <c r="W255" i="2" s="1"/>
  <c r="P255" i="2" s="1"/>
  <c r="V343" i="2"/>
  <c r="W343" i="2" s="1"/>
  <c r="P343" i="2" s="1"/>
  <c r="V331" i="2"/>
  <c r="W331" i="2" s="1"/>
  <c r="P331" i="2" s="1"/>
  <c r="V365" i="2"/>
  <c r="W365" i="2" s="1"/>
  <c r="P365" i="2" s="1"/>
  <c r="V367" i="2"/>
  <c r="W367" i="2" s="1"/>
  <c r="P367" i="2" s="1"/>
  <c r="V257" i="2"/>
  <c r="W257" i="2" s="1"/>
  <c r="P257" i="2" s="1"/>
  <c r="V327" i="2"/>
  <c r="W327" i="2" s="1"/>
  <c r="P327" i="2" s="1"/>
  <c r="V265" i="2"/>
  <c r="W265" i="2" s="1"/>
  <c r="P265" i="2" s="1"/>
  <c r="V293" i="2"/>
  <c r="W293" i="2" s="1"/>
  <c r="P293" i="2" s="1"/>
  <c r="V237" i="2"/>
  <c r="W237" i="2" s="1"/>
  <c r="P237" i="2" s="1"/>
  <c r="V267" i="2"/>
  <c r="W267" i="2" s="1"/>
  <c r="P267" i="2" s="1"/>
  <c r="V325" i="2"/>
  <c r="W325" i="2" s="1"/>
  <c r="P325" i="2" s="1"/>
  <c r="V339" i="2"/>
  <c r="W339" i="2" s="1"/>
  <c r="P339" i="2" s="1"/>
  <c r="V289" i="2"/>
  <c r="W289" i="2" s="1"/>
  <c r="P289" i="2" s="1"/>
  <c r="V329" i="2"/>
  <c r="W329" i="2" s="1"/>
  <c r="P329" i="2" s="1"/>
  <c r="V261" i="2"/>
  <c r="W261" i="2" s="1"/>
  <c r="P261" i="2" s="1"/>
  <c r="V283" i="2"/>
  <c r="W283" i="2" s="1"/>
  <c r="P283" i="2" s="1"/>
  <c r="V277" i="2"/>
  <c r="W277" i="2" s="1"/>
  <c r="P277" i="2" s="1"/>
  <c r="V301" i="2"/>
  <c r="W301" i="2" s="1"/>
  <c r="P301" i="2" s="1"/>
  <c r="V373" i="2"/>
  <c r="W373" i="2" s="1"/>
  <c r="P373" i="2" s="1"/>
  <c r="V281" i="2"/>
  <c r="W281" i="2" s="1"/>
  <c r="P281" i="2" s="1"/>
  <c r="V337" i="2"/>
  <c r="W337" i="2" s="1"/>
  <c r="P337" i="2" s="1"/>
  <c r="V243" i="2"/>
  <c r="W243" i="2" s="1"/>
  <c r="P243" i="2" s="1"/>
  <c r="V351" i="2"/>
  <c r="W351" i="2" s="1"/>
  <c r="P351" i="2" s="1"/>
  <c r="V241" i="2"/>
  <c r="W241" i="2" s="1"/>
  <c r="P241" i="2" s="1"/>
  <c r="V363" i="2"/>
  <c r="W363" i="2" s="1"/>
  <c r="P363" i="2" s="1"/>
  <c r="V247" i="2"/>
  <c r="W247" i="2" s="1"/>
  <c r="P247" i="2" s="1"/>
  <c r="V359" i="2"/>
  <c r="W359" i="2" s="1"/>
  <c r="P359" i="2" s="1"/>
  <c r="V357" i="2"/>
  <c r="W357" i="2" s="1"/>
  <c r="P357" i="2" s="1"/>
  <c r="V279" i="2"/>
  <c r="W279" i="2" s="1"/>
  <c r="P279" i="2" s="1"/>
  <c r="V375" i="2"/>
  <c r="W375" i="2" s="1"/>
  <c r="P375" i="2" s="1"/>
  <c r="V269" i="2"/>
  <c r="W269" i="2" s="1"/>
  <c r="P269" i="2" s="1"/>
  <c r="V287" i="2"/>
  <c r="W287" i="2" s="1"/>
  <c r="P287" i="2" s="1"/>
  <c r="V347" i="2"/>
  <c r="W347" i="2" s="1"/>
  <c r="P347" i="2" s="1"/>
  <c r="V297" i="2"/>
  <c r="W297" i="2" s="1"/>
  <c r="P297" i="2" s="1"/>
  <c r="V253" i="2"/>
  <c r="W253" i="2" s="1"/>
  <c r="P253" i="2" s="1"/>
  <c r="V249" i="2"/>
  <c r="W249" i="2" s="1"/>
  <c r="P249" i="2" s="1"/>
  <c r="V361" i="2"/>
  <c r="W361" i="2" s="1"/>
  <c r="P361" i="2" s="1"/>
  <c r="V307" i="2"/>
  <c r="W307" i="2" s="1"/>
  <c r="P307" i="2" s="1"/>
  <c r="W3" i="2" l="1"/>
</calcChain>
</file>

<file path=xl/comments1.xml><?xml version="1.0" encoding="utf-8"?>
<comments xmlns="http://schemas.openxmlformats.org/spreadsheetml/2006/main">
  <authors>
    <author>Дмитрий Круглов</author>
  </authors>
  <commentList>
    <comment ref="C3" authorId="0">
      <text>
        <r>
          <rPr>
            <sz val="10"/>
            <color indexed="81"/>
            <rFont val="Arial Cyr"/>
            <charset val="204"/>
          </rPr>
          <t>1. Синий цвет означает, что расчеты произведены в данном листе.
2. Голубой цвет заливки - в эти ячейцки данные вносятся вручную</t>
        </r>
      </text>
    </comment>
    <comment ref="P36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38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42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44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46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48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50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54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55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56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57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58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59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60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61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62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63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99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15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17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23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27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31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33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41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43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45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47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49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51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198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221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223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225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227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229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231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P233" authorId="0">
      <text>
        <r>
          <rPr>
            <sz val="10"/>
            <color indexed="81"/>
            <rFont val="Arial Cyr"/>
            <charset val="204"/>
          </rPr>
          <t>Выберите из выпадающего списка</t>
        </r>
      </text>
    </comment>
    <comment ref="C255" authorId="0">
      <text>
        <r>
          <rPr>
            <sz val="10"/>
            <color indexed="81"/>
            <rFont val="Arial Cyr"/>
            <charset val="204"/>
          </rPr>
          <t>При отсутствии центра профессиональной и социальной реабилитации для лиц с особенностями психофизического развития</t>
        </r>
      </text>
    </comment>
    <comment ref="C375" authorId="0">
      <text>
        <r>
          <rPr>
            <sz val="10"/>
            <color indexed="81"/>
            <rFont val="Arial Cyr"/>
            <charset val="204"/>
          </rPr>
          <t>При самостоятельном пользовании лифтами</t>
        </r>
      </text>
    </comment>
    <comment ref="C379" authorId="0">
      <text>
        <r>
          <rPr>
            <sz val="10"/>
            <color indexed="81"/>
            <rFont val="Arial Cyr"/>
            <charset val="204"/>
          </rPr>
          <t>С учетом годового аланса рабочего времени</t>
        </r>
      </text>
    </comment>
  </commentList>
</comments>
</file>

<file path=xl/comments2.xml><?xml version="1.0" encoding="utf-8"?>
<comments xmlns="http://schemas.openxmlformats.org/spreadsheetml/2006/main">
  <authors>
    <author>Дмитрий Круглов</author>
  </authors>
  <commentList>
    <comment ref="C3" authorId="0">
      <text>
        <r>
          <rPr>
            <sz val="10"/>
            <color indexed="81"/>
            <rFont val="Arial Cyr"/>
            <charset val="204"/>
          </rPr>
          <t>1. Синий цвет означает, что расчеты произведены в данном листе.
2. Голубой цвет заливки - в эти ячейцки данные вносятся вручную</t>
        </r>
      </text>
    </comment>
    <comment ref="C27" authorId="0">
      <text>
        <r>
          <rPr>
            <sz val="10"/>
            <color indexed="81"/>
            <rFont val="Arial Cyr"/>
            <charset val="204"/>
          </rPr>
          <t>При наличии филиалов (в филиалах)</t>
        </r>
      </text>
    </comment>
  </commentList>
</comments>
</file>

<file path=xl/sharedStrings.xml><?xml version="1.0" encoding="utf-8"?>
<sst xmlns="http://schemas.openxmlformats.org/spreadsheetml/2006/main" count="1116" uniqueCount="279">
  <si>
    <t>Подготовлено редакцией Правовой платформы «Бизнес-Инфо»
 (ООО «Профессиональные правовые системы»)</t>
  </si>
  <si>
    <t>Исходные данные</t>
  </si>
  <si>
    <t>Штатная численность</t>
  </si>
  <si>
    <t>Директор, чел.</t>
  </si>
  <si>
    <t>Заместитель директора по основной деятельности (учебной, воспитательной, учебно-воспитательной, учебно-методической, учебно-производственной работе), чел.</t>
  </si>
  <si>
    <t>Заместитель директора по производственному обучению, чел.</t>
  </si>
  <si>
    <t>Старший мастер, чел.</t>
  </si>
  <si>
    <t>Заместитель директора по административно-хозяйственной работе, чел.</t>
  </si>
  <si>
    <t>Заведующий хозяйством, чел.</t>
  </si>
  <si>
    <t>Количество филиалов, ед.</t>
  </si>
  <si>
    <t>Заведующий филиалом, чел.</t>
  </si>
  <si>
    <t>Заведующий отделением, чел.</t>
  </si>
  <si>
    <t>Наименование отделения</t>
  </si>
  <si>
    <t>содержание образовательных программ профессионально-технического образования</t>
  </si>
  <si>
    <t>содержание образовательных программ профессионально-технического образования и среднего специального образования, обеспечивающих получение квалификации специалиста или рабочего со средним специальным образованием и интегрированных с образовательными программами профессионально-технического образования</t>
  </si>
  <si>
    <t>Количество обучающихся на отделении по одной или нескольким специальностям независимо от формы получения образования, осваивающих, чел.:</t>
  </si>
  <si>
    <t>Заведующий отделением по профессиональной подготовке, переподготовке и повышению квалификации рабочих (служащих), чел.</t>
  </si>
  <si>
    <t>Количество слушателей независимо от формы получения образования, обучающихся за счет средств бюджета, чел.</t>
  </si>
  <si>
    <t>Количество слушателей независимо от формы получения образования, обучающихся за счет средств от приносящей доходы деятельности, чел.</t>
  </si>
  <si>
    <t>Заведующий отделением для лиц с особенностями психофизического развития, чел.</t>
  </si>
  <si>
    <t xml:space="preserve"> Количество лиц с особенностями психофизического развития) независимо от формы получения образования, обучающихся за счет средств бюджета, чел.</t>
  </si>
  <si>
    <t>Количество лиц с особенностями психофизического развития) независимо от формы получения образования, обучающихся за счет средств от приносящей доходы деятельности, чел.</t>
  </si>
  <si>
    <t>Наличие центра профессиональной и социальной реабилитации для лиц с особенностями психофизического развития от 60 и более обучающихся</t>
  </si>
  <si>
    <t>*</t>
  </si>
  <si>
    <t>Заведующий центром профессиональной и социальной реабилитации для лиц с особенностями психофизического развития, чел.</t>
  </si>
  <si>
    <t>Наличие ресурсного центра</t>
  </si>
  <si>
    <t>Заведующий ресурсным центром, чел.</t>
  </si>
  <si>
    <t>Количество лабораторий, оснащенных опытными установками и сложным производственным техническим оборудованием (кроме технических средств обучения), предназначенных для проведения лабораторных, практических и лабораторно-практических занятий (работ) по учебным дисциплинам профессионального компонента учебного плана учреждения образования, реализующего образовательные программы среднего специального образования, по специальностям (направлениям специальностей) и специализациям</t>
  </si>
  <si>
    <t>Заведующий лабораторией, чел.</t>
  </si>
  <si>
    <t>Наличие производственной (учебно-производственной) мастерской за счет средств бюджета или средств от осуществления приносящей доходы деятельности</t>
  </si>
  <si>
    <t>Заведующий производственной (учебно-производственной) мастерской, чел.</t>
  </si>
  <si>
    <t>Наличии учебного хозяйства, осуществляющего приносящую доходы деятельность</t>
  </si>
  <si>
    <t>Управляющий учебным хозяйством, чел.</t>
  </si>
  <si>
    <t>Главный бухгалтер, чел.</t>
  </si>
  <si>
    <t>Количество обучающихся заочной формы получения образования, чел.</t>
  </si>
  <si>
    <t>Количество обучающихся вечерней формы получения образования, чел.</t>
  </si>
  <si>
    <t xml:space="preserve">Заместитель главного бухгалтера, чел.
</t>
  </si>
  <si>
    <t>Бухгалтер, чел.</t>
  </si>
  <si>
    <t>Экономист, чел.</t>
  </si>
  <si>
    <t>Наличие производственной (учебно-производственной) мастерской, осуществляющей приносящую доходы деятельность</t>
  </si>
  <si>
    <t>Юрисконсульт, чел.</t>
  </si>
  <si>
    <t>Осуществлении государственных закупок самостоятельно и при наличии бухгалтерской службы</t>
  </si>
  <si>
    <t xml:space="preserve">Специалист по организации закупок, чел.
</t>
  </si>
  <si>
    <t>Наличие склада</t>
  </si>
  <si>
    <t>Заведующий складом, чел.</t>
  </si>
  <si>
    <t xml:space="preserve">Наименование общежития </t>
  </si>
  <si>
    <t>Коли-чество постов дежур-ных по общежи-тию, ед.</t>
  </si>
  <si>
    <t>Количе-ство смен, ед.</t>
  </si>
  <si>
    <t>Количество проживающих в здании, чел.</t>
  </si>
  <si>
    <t>№ 1</t>
  </si>
  <si>
    <t>№ 2</t>
  </si>
  <si>
    <t>№ 3</t>
  </si>
  <si>
    <t>№ 4</t>
  </si>
  <si>
    <t>Заведующий общежитием, чел.</t>
  </si>
  <si>
    <t>Заведующий камерой хранения, чел.</t>
  </si>
  <si>
    <t>Заведующий библиотекой, чел.</t>
  </si>
  <si>
    <t>Библиотекарь, чел.</t>
  </si>
  <si>
    <t>Руководитель физического воспитания, чел.</t>
  </si>
  <si>
    <t xml:space="preserve">Педагог дополнительного образования, чел.
</t>
  </si>
  <si>
    <t>Количество часов работы в год при реализации содержания образовательной программы дополнительного образования детей и молодежи, ч</t>
  </si>
  <si>
    <t>Количество обучающихся, получающих среднее специальное и (или) профессионально-техническое образование в дневной форме получения образования, чел.</t>
  </si>
  <si>
    <t>Преподаватель, чел.</t>
  </si>
  <si>
    <t>Бюджет времени по учебным планам учреждения образования на учебный год с учетом количества учебных групп, включая часы факультативных занятий и часы консультаций, за исключением часов производственного обучения, проводимого мастерами производственного обучения учреждения образования, ч</t>
  </si>
  <si>
    <t>Норма часов педагогической нагрузки за ставку в год, ч</t>
  </si>
  <si>
    <t>Мастер производственного обучения учреждения образования, чел.</t>
  </si>
  <si>
    <t>Количество подгрупп численностью 12–15 обучающихся при организации производственного обучения обучающихся, осваивающих содержание образовательных программ профессионально-технического образования в дневной форме получения образования, ед.</t>
  </si>
  <si>
    <t>Количество подгрупп численностью 7–10 обучающихся при организации производственного обучения обучающихся, осваивающих содержание образовательных программ профессионально-технического образования в вечерней форме получения образования, ед.</t>
  </si>
  <si>
    <t>Количество подгрупп численностью 7–10 обучающихся при организации производственного обучения обучающихся, осваивающих содержание образовательных программ профессионально-технического образования в дневной форме по специальностям «Декоративно-прикладное искусство», «Художественно-оформительские работы и дизайн интерьеров» профиля образования «Искусство и дизайн», «Реставрационно-восстановительные работы» профиля образования «Архитектура и строительство», ед.</t>
  </si>
  <si>
    <t>Количество часов производственного обучения в год при обучении обучающихся управлению механическими транспортными средствами, ч</t>
  </si>
  <si>
    <t>Количество групп, в которой образовательный процесс организован только для лиц с особенностями психофизического развития, ед.</t>
  </si>
  <si>
    <t>Количество групп, в которых образовательный процесс организован для лиц с особенностями психофизического развития и иных лиц, ед.</t>
  </si>
  <si>
    <t>Количество обучающихся, осваивающих содержание образовательных программ профессионально-технического образования или образовательной программы профессиональной подготовки рабочих (служащих) на дому, чел.</t>
  </si>
  <si>
    <t>Количество часов учебной практики при освоении содержания образовательных программ среднего специального образования, обеспечивающих получение квалификации специалиста или рабочего со средним специальным образованием и интегрированных с образовательными программами профессионально-технического образования в профессионально-технических колледжах, ч</t>
  </si>
  <si>
    <t>Количество часов производственного обучения (учебной практики) в ресурсных центрах при освоении содержания образовательных программ профессионально-технического, среднего специального, высшего образования, ч</t>
  </si>
  <si>
    <t>Количество часов производственного обучения на отделениях (в группах) при реализации образовательных программ профессиональной подготовки рабочих (служащих), переподготовки рабочих (служащих), повышения квалификации рабочих (служащих), ч</t>
  </si>
  <si>
    <t>Мастер производственного обучения управлению механическим транспортным средством, чел.</t>
  </si>
  <si>
    <t>Количество часов производственного обучения в год при обучении обучающихся управлению механическими транспортными средствами при оказании платных услуг населению, ч</t>
  </si>
  <si>
    <t>Педагог-организатор, чел.</t>
  </si>
  <si>
    <t>Количество обучающихся, осваивающих содержание образовательных программ среднего специального образования, обеспечивающих получение квалификации специалиста или рабочего со средним специальным образованием и интегрированных с образовательными программами профессионально-технического образования в профессионально-технических колледжах, чел.</t>
  </si>
  <si>
    <t>Методист, чел.</t>
  </si>
  <si>
    <t>Количество обучающихся, осваивающих содержание образовательных программ среднего специального образования, обеспечивающих получение квалификации специалиста или рабочего со средним специальным образованием и интегрированных с образовательными программами профессионально-технического образования в профессионально-технических колледжах в заочной форме получения образования, чел.</t>
  </si>
  <si>
    <t>Количество отделений по профессиональной подготовке, переподготовке и повышению квалификации рабочих (служащих) за счет средств бюджета или средств от осуществления приносящей доходы деятельности, ед.</t>
  </si>
  <si>
    <t>Педагог социальный, чел.</t>
  </si>
  <si>
    <t>Воспитатель, чел.</t>
  </si>
  <si>
    <t>Количество обучающихся, из числа лиц с особенностями психофизического развития, проживающих в общежитиях, чел.</t>
  </si>
  <si>
    <t>Количество обучающихся, проживающих в общежитиях коридорного типа, чел.</t>
  </si>
  <si>
    <t xml:space="preserve">Переводчик жестового языка, чел.
</t>
  </si>
  <si>
    <t>Количество групп обучающихся для неслышащих учащихся, слабослышащих учащихся, ед.</t>
  </si>
  <si>
    <t>Инженер-энергетик, чел.</t>
  </si>
  <si>
    <t>Наличие встроенной трансформаторной электростанции, находящейся на балансе учреждения</t>
  </si>
  <si>
    <t>Инженер-программист, чел.</t>
  </si>
  <si>
    <t>Наличие компьютерного класса</t>
  </si>
  <si>
    <t>Оператор ЭВМ, чел.</t>
  </si>
  <si>
    <t>Инспектор по кадрам, чел.</t>
  </si>
  <si>
    <t>Количество личных дел работников, ед.</t>
  </si>
  <si>
    <t>Механик, чел.</t>
  </si>
  <si>
    <t>Количество в производственных (учебно-производственных) мастерских, учебном хозяйстве станков, машин, оборудования, автомобилей, тракторов, самоходных сельскохозяйственных машин, мелиоративной, дорожно-строительной, сельскохозяйственной техники, ед.</t>
  </si>
  <si>
    <t>Инженер по охране труда, чел.</t>
  </si>
  <si>
    <t>Лаборант, чел.</t>
  </si>
  <si>
    <t>Наличие в учреждении оборудованного кабинета дипломного проектирования для выполнения обучающимися, осваивающими содержание образовательных программ среднего специального образования, дипломных проектов (работ)</t>
  </si>
  <si>
    <t>Количество часов в год лабораторных, практических и лабораторно-практических занятий (работ), ед.</t>
  </si>
  <si>
    <t>Количество часов дипломного проектирования, ч</t>
  </si>
  <si>
    <t>Паспортист, чел.</t>
  </si>
  <si>
    <t xml:space="preserve">Дежурный по общежитию, чел.
</t>
  </si>
  <si>
    <t>Комендант, чел.</t>
  </si>
  <si>
    <t>Секретарь учебной части, чел.</t>
  </si>
  <si>
    <t>Секретарь, чел.</t>
  </si>
  <si>
    <t>Делопроизводитель, чел.</t>
  </si>
  <si>
    <t>Кладовщик, чел.</t>
  </si>
  <si>
    <t>Кладовщик (в инструментальной кладовой), чел.</t>
  </si>
  <si>
    <t>Наличие специально оборудованной инструментальной кладовой в учреждении, в котором ведется обучение по специальностям профиля образования «Сельское и лесное хозяйство. Садово-парковое строительство», группе специальностей «Производство продуктов питания» профиля образования «Техника и технологии», группе специальностей «Общественное питание» профиля образования «Общественное питание. Бытовое обслуживание», независимо от контингента обучающихся</t>
  </si>
  <si>
    <t>Наличие специально оборудованной инструментальной кладовой в учреждении, в котором ведется обучение по специальностям профиля образования «Архитектура и строительство», группе специальностей «Машиностроительное оборудование и технологии», профиля образования «Техника и технологии», при контингенте от 801 и более обучающихся</t>
  </si>
  <si>
    <t>Слесарь-ремонтник, чел.</t>
  </si>
  <si>
    <t>Количество станков (кроме станков с числовым программным управлением), машин, оборудования, автомобилей, тракторов, комбайнов, самоходных сельскохозяйственных машин, мелиоративной, дорожно-строительной, сельскохозяйственной техники, ед.</t>
  </si>
  <si>
    <t>Количество станков с числовым программным управлением, ед.</t>
  </si>
  <si>
    <t>Техник-электроник, чел.</t>
  </si>
  <si>
    <t xml:space="preserve">Оператор заправочной станции, чел.
</t>
  </si>
  <si>
    <t>Количество единиц действующих тракторов, автомобилей, самоходных сельскохозяйственных машин, мелиоративной, дорожно-строительной техники в учреждении, где осуществляется подготовка по квалификациям: водитель автомобиля, машинист крана автомобильного, машинист крана (крановщик), машинист буровой установки, машинист буровых установок на нефть и газ, машинист бульдозера, машинист экскаватора, тракторист, тракторист-машинист сельскохозяйственного производства, чел.</t>
  </si>
  <si>
    <t xml:space="preserve">Водитель автомобиля (грузового), чел.
</t>
  </si>
  <si>
    <t>Наличие эксплуатируемого грузового автомобиля</t>
  </si>
  <si>
    <t>Наличие эксплуатируемого автобуса</t>
  </si>
  <si>
    <t>Водитель автомобиля (автобуса), чел.</t>
  </si>
  <si>
    <t>Водитель автомобиля (легкового), чел.</t>
  </si>
  <si>
    <t>Наличие эксплуатируемого автомобиля, предусмотренного табелем положенности специальных легковых автомобилей и лимитами количества служебных легковых автомобилей, утверждаемыми в установленном порядке</t>
  </si>
  <si>
    <t>Кастелянша, чел.</t>
  </si>
  <si>
    <t>Рабочий (машинист) по стирке и ремонту спецодежды, чел.</t>
  </si>
  <si>
    <t>Наличие оборудованной прачечной из расчета 100 обучающихся, проживающих в общежитии (при условии, если учреждение не пользуется услугами коммунальных прачечных)</t>
  </si>
  <si>
    <t>В учреждении обучающиеся во время производственного обучения работают со свинецсодержащими припоями</t>
  </si>
  <si>
    <t>Заведующий столовой, чел.</t>
  </si>
  <si>
    <t>Имеется столовая как структурное подразделение</t>
  </si>
  <si>
    <t>Заведующий производством (шеф-повар), чел.</t>
  </si>
  <si>
    <t xml:space="preserve">Повар (повар детского питания), чел.
</t>
  </si>
  <si>
    <t>Количество смен в учреждениях образования, имеющих столовую как структурное подразделение, ед.</t>
  </si>
  <si>
    <t>Кухонный рабочий, чел.</t>
  </si>
  <si>
    <t>Кладовщик (столовой), чел.</t>
  </si>
  <si>
    <t>Бухгалтер (столовой), чел.</t>
  </si>
  <si>
    <t>Уборщик помещений, чел.</t>
  </si>
  <si>
    <r>
      <t>Убираемые площади, за исключением площади общежитий, имеющих жилые помещения, сгруппированные в жилые ячейки, без учета площади спальных комнат, м</t>
    </r>
    <r>
      <rPr>
        <vertAlign val="superscript"/>
        <sz val="12"/>
        <rFont val="Times New Roman"/>
        <family val="1"/>
        <charset val="204"/>
      </rPr>
      <t>2</t>
    </r>
  </si>
  <si>
    <r>
      <t>Убираемые площади в общежитиях, имеющих жилые помещения, сгруппированные в жилые ячейки, без учета площади спальных комнат, м</t>
    </r>
    <r>
      <rPr>
        <vertAlign val="superscript"/>
        <sz val="12"/>
        <rFont val="Times New Roman"/>
        <family val="1"/>
        <charset val="204"/>
      </rPr>
      <t>2</t>
    </r>
  </si>
  <si>
    <t>Подсобный рабочий, чел.</t>
  </si>
  <si>
    <t>Наименование гардероба</t>
  </si>
  <si>
    <t>Коли-чество мест, ед.</t>
  </si>
  <si>
    <t>Гардеробщик, чел.</t>
  </si>
  <si>
    <t>Наименование поста лифтера</t>
  </si>
  <si>
    <t>Количество смен, ед.</t>
  </si>
  <si>
    <t>Лифтер, чел.</t>
  </si>
  <si>
    <t>Рабочий по комплексному обслуживанию и ремонту зданий и сооружений, чел.</t>
  </si>
  <si>
    <t>Вводится в пределах общей нормативной численности рабочих вместо профессий рабочих (столяра, слесаря-сантехника, электромонтера по ремонту и обслуживанию электрооборудования, слесаря по контрольно-измерительным приборам и автоматике), если невозможно установить профессии рабочих по отдельным наименованиям</t>
  </si>
  <si>
    <t>Наименование поста сторожа (вахтера)</t>
  </si>
  <si>
    <t>Сторож (вахтер), чел.</t>
  </si>
  <si>
    <t>Период года</t>
  </si>
  <si>
    <r>
      <t>Площадь территории с усовершенствованным покрытием: асфальтобетонным, цементобетонным, железобетонным или армобетонным сборным, сборным из мелкоразмерных бетонных плит, мостовые из брусчатки и мозаики,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</si>
  <si>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 с неусовершенствованным покрытием: булыжным, осколочным, щебеночным, в том числе обработанным битумом гравийным, деревянным, дощатым и другим покрытием,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</si>
  <si>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 без покрытия, м</t>
    </r>
    <r>
      <rPr>
        <vertAlign val="superscript"/>
        <sz val="12"/>
        <rFont val="Times New Roman"/>
        <family val="1"/>
        <charset val="204"/>
      </rPr>
      <t>2</t>
    </r>
  </si>
  <si>
    <r>
      <t>Площадь территории газонов, м</t>
    </r>
    <r>
      <rPr>
        <vertAlign val="superscript"/>
        <sz val="12"/>
        <rFont val="Times New Roman"/>
        <family val="1"/>
        <charset val="204"/>
      </rPr>
      <t>2</t>
    </r>
  </si>
  <si>
    <t>Летний</t>
  </si>
  <si>
    <t>Зимний</t>
  </si>
  <si>
    <t>Уборщик территорий, чел.</t>
  </si>
  <si>
    <t>Машинист (кочегар) котельной, чел.</t>
  </si>
  <si>
    <t>Наименование поста котельной, работающей на твердом топливе</t>
  </si>
  <si>
    <t>Оператор котельной, чел.</t>
  </si>
  <si>
    <t>Количество котлов при работе на жидком и газообразном топливе или электронагреве, ед.</t>
  </si>
  <si>
    <t>Суммарная производительность котлов при работе на жидком и газообразном топливе или электронагреве, Гкал/ч</t>
  </si>
  <si>
    <t>Количество котлов, из которых удаляется шлак и зола, ед.</t>
  </si>
  <si>
    <t>Количества удаляемого шлака и золы в смену, т</t>
  </si>
  <si>
    <t>0,1–4</t>
  </si>
  <si>
    <t>4,1–20</t>
  </si>
  <si>
    <t>20,1–150</t>
  </si>
  <si>
    <t>2-5</t>
  </si>
  <si>
    <t>5-10</t>
  </si>
  <si>
    <t>6-10</t>
  </si>
  <si>
    <t>3-10</t>
  </si>
  <si>
    <t>Подсобный рабочий (котельной), чел.</t>
  </si>
  <si>
    <t>До 5</t>
  </si>
  <si>
    <t>До 1</t>
  </si>
  <si>
    <t>До 10</t>
  </si>
  <si>
    <t>До 2</t>
  </si>
  <si>
    <t>Рабочие по профессиям рабочих: слесарь-сантехник, электромонтер по ремонту и обслуживанию электрооборудования, слесарь по контрольно-измерительным приборам и автоматике, чел.</t>
  </si>
  <si>
    <t>До 100</t>
  </si>
  <si>
    <t>до 1 500</t>
  </si>
  <si>
    <t>1 501–2 500</t>
  </si>
  <si>
    <t>2 501–3 500</t>
  </si>
  <si>
    <t>3 501–4 500</t>
  </si>
  <si>
    <t>4 501–5 500</t>
  </si>
  <si>
    <t>5 501–6 500</t>
  </si>
  <si>
    <t>6 501–7 500</t>
  </si>
  <si>
    <t>7 501–8 500</t>
  </si>
  <si>
    <t>8 501–9 500</t>
  </si>
  <si>
    <t>101–200</t>
  </si>
  <si>
    <t>9 501–10 500</t>
  </si>
  <si>
    <t>10 501–11 500</t>
  </si>
  <si>
    <t>11 501–13 500</t>
  </si>
  <si>
    <t>13 501–15 500</t>
  </si>
  <si>
    <t>15 501–17 500</t>
  </si>
  <si>
    <t>17 501–19 500</t>
  </si>
  <si>
    <t>19 501–21 500</t>
  </si>
  <si>
    <t>21 501–23 600</t>
  </si>
  <si>
    <t>201–300</t>
  </si>
  <si>
    <t>301–400</t>
  </si>
  <si>
    <t>401–500</t>
  </si>
  <si>
    <t>501–600</t>
  </si>
  <si>
    <t>601–700</t>
  </si>
  <si>
    <t>701–800</t>
  </si>
  <si>
    <t>801–900</t>
  </si>
  <si>
    <t>901–1 000</t>
  </si>
  <si>
    <t>1 001–1 100</t>
  </si>
  <si>
    <t>1 101–1 500</t>
  </si>
  <si>
    <t>Свыше 5 500</t>
  </si>
  <si>
    <t>До 400</t>
  </si>
  <si>
    <t>401–600</t>
  </si>
  <si>
    <t>до 400</t>
  </si>
  <si>
    <t>601–850</t>
  </si>
  <si>
    <t>Количество работающих и обучающихся, чел.</t>
  </si>
  <si>
    <r>
      <t>Общая площадь здания, м</t>
    </r>
    <r>
      <rPr>
        <vertAlign val="superscript"/>
        <sz val="12"/>
        <rFont val="Times New Roman"/>
        <family val="1"/>
        <charset val="204"/>
      </rPr>
      <t>2</t>
    </r>
  </si>
  <si>
    <t>Количество единиц мебели, ед.</t>
  </si>
  <si>
    <t>Столяр, чел.</t>
  </si>
  <si>
    <t>Итого штатная численность, чел.</t>
  </si>
  <si>
    <t>Наличие мусоро-провода в общежитии</t>
  </si>
  <si>
    <t>Наименование учреждения</t>
  </si>
  <si>
    <t>Заместитель директора по учебно-производственной работе, чел.</t>
  </si>
  <si>
    <t>Заместитель главного бухгалтера, чел.</t>
  </si>
  <si>
    <t>Количество подгрупп численностью 10–13 обучающихся при организации производственного обучения обучающихся, осваивающих содержание образовательных программ профессионально-технического образования, чел.</t>
  </si>
  <si>
    <t>Количество подгрупп численностью 7–10 обучающихся при организации производственного обучения обучающихся по специальностям «Декоративно-прикладное искусство», «Художественно-оформительские работы и дизайн интерьеров» профиля образования «Искусство и дизайн», «Реставрационно-восстановительные работы» профиля образования «Архитектура и строительство»</t>
  </si>
  <si>
    <t>Количество часов производственного обучения при реализации образовательных программ профессиональной подготовки рабочих (служащих), переподготовки рабочих (служащих), повышения квалификации рабочих (служащих), чел.</t>
  </si>
  <si>
    <t>1. Калькулятор состоит из 2 частей;</t>
  </si>
  <si>
    <t>Количество работающих и обучающихся, человек</t>
  </si>
  <si>
    <t>Общая площадь здания, кв. м</t>
  </si>
  <si>
    <t>–</t>
  </si>
  <si>
    <t>1501–2500</t>
  </si>
  <si>
    <t>2501–3500</t>
  </si>
  <si>
    <t>3501–4500</t>
  </si>
  <si>
    <t>4501–5500</t>
  </si>
  <si>
    <t>5501–6500</t>
  </si>
  <si>
    <t>6501–7500</t>
  </si>
  <si>
    <t>7501–8500</t>
  </si>
  <si>
    <t>до1500</t>
  </si>
  <si>
    <t>8501–9500</t>
  </si>
  <si>
    <t>9501–10500</t>
  </si>
  <si>
    <t>10501–11500</t>
  </si>
  <si>
    <t>11501–13500</t>
  </si>
  <si>
    <t>13501–15500</t>
  </si>
  <si>
    <t>15501–17500</t>
  </si>
  <si>
    <t>17501–19500</t>
  </si>
  <si>
    <t>19501–21500</t>
  </si>
  <si>
    <t>21501–23600</t>
  </si>
  <si>
    <t>До 1500</t>
  </si>
  <si>
    <t>851–1300</t>
  </si>
  <si>
    <t>1301–1800</t>
  </si>
  <si>
    <t>1801–2500</t>
  </si>
  <si>
    <t>3501–5000</t>
  </si>
  <si>
    <t>5001–7500</t>
  </si>
  <si>
    <t>7501–11200</t>
  </si>
  <si>
    <t>11201–16800</t>
  </si>
  <si>
    <t>16801–25200</t>
  </si>
  <si>
    <t>25201–37800</t>
  </si>
  <si>
    <t>37801–56700</t>
  </si>
  <si>
    <t>901–1000</t>
  </si>
  <si>
    <t>1001–1100</t>
  </si>
  <si>
    <t>1101–1500</t>
  </si>
  <si>
    <t>Свыше 5500</t>
  </si>
  <si>
    <t>Количество обучающихся, осваивающих содержание образовательных программ профессионально-технического образования, образовательную программу среднего специального образования, обеспечивающую получение квалификации специалиста со средним специальным образованием и интегрированную с образовательными программами профессионально-технического образования, образовательную программу среднего специального образования, обеспечивающую получение квалификации рабочего со средним специальным образованием и интегрированную с образовательными программами профессионально-технического образования (далее – образовательные программы среднего специального образования, обеспечивающие получение квалификации специалиста или рабочего со средним специальным образованием и интегрированных с образовательными программами профессионально-технического образования), – по численности обучающихся на последнюю отчетную дату дневной формы получения образования, чел.</t>
  </si>
  <si>
    <t>Количество слушателей из числа обучающихся учреждений общего среднего образования, осваивающих содержание образовательной программы профессиональной подготовки рабочих (служащих), – по численности обучающихся на последнюю отчетную дату, чел.</t>
  </si>
  <si>
    <t>Число часов организационно-воспитательной работы в учреждении образования, которое определяется в соответствии с подп. 2.6 п. 2 постановления Минобразования от 25.05.2015 г. № 43, ч</t>
  </si>
  <si>
    <t>Число часов дополнительного контроля в учреждении образования, которое определяется в соответствии с  подп. 2.6 п. 2 постановления Минобразования от 25.05.2015 г. № 43, ч</t>
  </si>
  <si>
    <t>Ведущее учреждение профессионально-технического образования в системе профессионально-технического образования</t>
  </si>
  <si>
    <t>Количество обучающихся, проживающих в общежитиях, имеющих изолированные жилые помещения, чел.</t>
  </si>
  <si>
    <t>Наличие лаборатории</t>
  </si>
  <si>
    <t>Педагог-психолог, чел.</t>
  </si>
  <si>
    <t>Вводится в соответствии с Нормативами численности специалистов по охране труда на предприятиях, утв. постановлением Минтруда от 23.07.1999 № 94</t>
  </si>
  <si>
    <t>Калькулятор разработан на основании постановления Минобразования от 25.05.2015 № 43 «О типовых штатах и нормативах численности работников учреждений профессионально-технического образования»</t>
  </si>
  <si>
    <t>Инструкция
по работе с Калькулятором нормативной численности работников учреждений профессионально-технического образования</t>
  </si>
  <si>
    <t xml:space="preserve"> - калькулятор нормативной численности работников учреждений профессионально-технического образования;</t>
  </si>
  <si>
    <t xml:space="preserve"> - калькулятор нормативной численности работников профессионально-технических училищ (филиалов государственных учреждений профессионально-технического образования), находящихся на территории исправительных учреждений уголовно-исполнительной системы МВД, республиканских унитарных производственных предприятий Департамента исполнения наказаний МВД, лечебно-трудовых профилакториев МВД.</t>
  </si>
  <si>
    <t>2. Заполните данные в ячейках с голубой заливкой (в разделах  «Исходные данные»).</t>
  </si>
  <si>
    <t>Справочно</t>
  </si>
  <si>
    <t>3. В таблицах калькулятора скрыт ряд резервных строк, для отображения которых воспользуйтесь кнопкой «+», а для скрытия - кнопкой  «-».</t>
  </si>
  <si>
    <t>Калькулятор нормативной численности работников учреждений профессионально-технического образования</t>
  </si>
  <si>
    <t>Количество слушателей, осваивающих содержание образовательных программ дополнительного образования взрослых, – по плановой приведенной среднегодовой численности, чел.</t>
  </si>
  <si>
    <t>Калькулятор нормативной численности работников профессионально-технических училищ (филиалов государственных учреждений профессионально-технического образования), находящихся на территории исправительных учреждений уголовно-исполнительной системы МВД, республиканских унитарных производственных предприятий Департамента исполнения наказаний МВД, лечебно-трудовых профилакториев МВД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</si>
</sst>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23">
    <font>
      <sz val="10"/>
      <name val="Arial Cyr"/>
      <charset val="204"/>
    </font>
    <font>
      <sz val="12"/>
      <name val="B_info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0"/>
      <color indexed="18"/>
      <name val="Times New Roman"/>
      <family val="1"/>
      <charset val="204"/>
    </font>
    <font>
      <i/>
      <sz val="12"/>
      <color indexed="18"/>
      <name val="Times New Roman"/>
      <family val="1"/>
      <charset val="204"/>
    </font>
    <font>
      <b/>
      <sz val="14"/>
      <color rgb="FF000066"/>
      <name val="Times New Roman"/>
      <family val="1"/>
      <charset val="204"/>
    </font>
    <font>
      <b/>
      <sz val="14"/>
      <color rgb="FF0000CC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0"/>
      <color indexed="81"/>
      <name val="Arial Cyr"/>
      <charset val="204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7">
    <xf numFmtId="0" fontId="0" fillId="0" borderId="0" xfId="0"/>
    <xf numFmtId="0" fontId="6" fillId="0" borderId="0" xfId="1" applyFont="1" applyFill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3" fontId="1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4" borderId="0" xfId="0" applyFont="1" applyFill="1"/>
    <xf numFmtId="0" fontId="4" fillId="4" borderId="0" xfId="0" applyFont="1" applyFill="1" applyBorder="1"/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 applyAlignment="1">
      <alignment horizontal="center" vertical="center"/>
    </xf>
    <xf numFmtId="4" fontId="4" fillId="4" borderId="0" xfId="0" applyNumberFormat="1" applyFont="1" applyFill="1"/>
    <xf numFmtId="4" fontId="10" fillId="4" borderId="0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top" wrapText="1"/>
    </xf>
    <xf numFmtId="49" fontId="4" fillId="4" borderId="0" xfId="0" applyNumberFormat="1" applyFont="1" applyFill="1" applyAlignment="1">
      <alignment horizontal="left" vertical="top"/>
    </xf>
    <xf numFmtId="0" fontId="16" fillId="4" borderId="3" xfId="0" applyFont="1" applyFill="1" applyBorder="1" applyAlignment="1">
      <alignment horizontal="left" vertical="top" wrapText="1"/>
    </xf>
    <xf numFmtId="0" fontId="16" fillId="4" borderId="0" xfId="0" applyFont="1" applyFill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4" fillId="4" borderId="0" xfId="0" applyNumberFormat="1" applyFont="1" applyFill="1" applyBorder="1" applyAlignment="1">
      <alignment horizontal="center" vertical="center"/>
    </xf>
    <xf numFmtId="0" fontId="6" fillId="4" borderId="0" xfId="1" applyFont="1" applyFill="1" applyAlignment="1">
      <alignment horizontal="right" vertical="top" wrapText="1"/>
    </xf>
    <xf numFmtId="0" fontId="4" fillId="0" borderId="0" xfId="0" applyFont="1" applyFill="1" applyBorder="1"/>
    <xf numFmtId="0" fontId="4" fillId="4" borderId="0" xfId="0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left" vertical="top"/>
    </xf>
    <xf numFmtId="49" fontId="4" fillId="4" borderId="0" xfId="0" applyNumberFormat="1" applyFont="1" applyFill="1" applyAlignment="1">
      <alignment horizontal="center" vertical="top"/>
    </xf>
    <xf numFmtId="0" fontId="16" fillId="4" borderId="0" xfId="0" applyFont="1" applyFill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2" fontId="16" fillId="4" borderId="2" xfId="0" applyNumberFormat="1" applyFont="1" applyFill="1" applyBorder="1" applyAlignment="1">
      <alignment horizontal="center" vertical="top" wrapText="1"/>
    </xf>
    <xf numFmtId="165" fontId="4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justify" vertical="top" wrapText="1"/>
    </xf>
    <xf numFmtId="0" fontId="18" fillId="4" borderId="0" xfId="0" applyFont="1" applyFill="1" applyAlignment="1">
      <alignment horizontal="justify" vertical="top" wrapText="1"/>
    </xf>
    <xf numFmtId="0" fontId="18" fillId="0" borderId="0" xfId="0" applyFont="1" applyFill="1" applyAlignment="1">
      <alignment horizontal="justify" vertical="top" wrapText="1"/>
    </xf>
    <xf numFmtId="0" fontId="4" fillId="0" borderId="0" xfId="0" applyFont="1" applyFill="1" applyAlignment="1">
      <alignment horizontal="justify" vertical="top" wrapText="1"/>
    </xf>
    <xf numFmtId="0" fontId="5" fillId="0" borderId="0" xfId="1" applyFont="1" applyFill="1" applyAlignment="1">
      <alignment horizontal="right" vertical="top" wrapText="1"/>
    </xf>
    <xf numFmtId="0" fontId="7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justify" vertical="top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4" fillId="0" borderId="0" xfId="0" applyFont="1" applyFill="1"/>
    <xf numFmtId="4" fontId="10" fillId="0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164" fontId="4" fillId="2" borderId="3" xfId="0" applyNumberFormat="1" applyFont="1" applyFill="1" applyBorder="1" applyAlignment="1">
      <alignment horizontal="center" vertical="top"/>
    </xf>
    <xf numFmtId="164" fontId="4" fillId="2" borderId="5" xfId="0" applyNumberFormat="1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3" fontId="13" fillId="2" borderId="3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3" fontId="4" fillId="2" borderId="16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 shrinkToFit="1"/>
    </xf>
    <xf numFmtId="164" fontId="4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0" fontId="1" fillId="2" borderId="1" xfId="0" applyFont="1" applyFill="1" applyBorder="1"/>
    <xf numFmtId="0" fontId="1" fillId="4" borderId="0" xfId="0" applyFont="1" applyFill="1" applyAlignment="1">
      <alignment horizontal="center" vertical="top"/>
    </xf>
    <xf numFmtId="0" fontId="20" fillId="0" borderId="0" xfId="0" applyFont="1" applyFill="1" applyAlignment="1">
      <alignment horizontal="justify" vertical="top" wrapText="1"/>
    </xf>
    <xf numFmtId="0" fontId="21" fillId="0" borderId="0" xfId="0" applyFont="1" applyFill="1" applyAlignment="1">
      <alignment horizontal="justify" vertical="top" wrapText="1"/>
    </xf>
    <xf numFmtId="0" fontId="22" fillId="0" borderId="0" xfId="0" applyFont="1" applyFill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1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CC"/>
      <color rgb="FFCCFFFF"/>
      <color rgb="FFCCFF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434340</xdr:colOff>
      <xdr:row>11</xdr:row>
      <xdr:rowOff>22860</xdr:rowOff>
    </xdr:from>
    <xdr:to>
      <xdr:col>11</xdr:col>
      <xdr:colOff>210780</xdr:colOff>
      <xdr:row>11</xdr:row>
      <xdr:rowOff>1761912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" y="4160520"/>
          <a:ext cx="5400000" cy="17390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609600</xdr:colOff>
          <xdr:row>4</xdr:row>
          <xdr:rowOff>19050</xdr:rowOff>
        </xdr:from>
        <xdr:to>
          <xdr:col>16</xdr:col>
          <xdr:colOff>600075</xdr:colOff>
          <xdr:row>4</xdr:row>
          <xdr:rowOff>257175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590550</xdr:colOff>
          <xdr:row>3</xdr:row>
          <xdr:rowOff>19050</xdr:rowOff>
        </xdr:from>
        <xdr:to>
          <xdr:col>16</xdr:col>
          <xdr:colOff>581025</xdr:colOff>
          <xdr:row>3</xdr:row>
          <xdr:rowOff>257175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Очистить данные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P33"/>
  <sheetViews>
    <sheetView showGridLines="0" tabSelected="1" zoomScaleNormal="100" workbookViewId="0"/>
  </sheetViews>
  <sheetFormatPr defaultColWidth="9.140625" defaultRowHeight="15.75"/>
  <cols>
    <col min="1" max="2" width="0.85546875" style="9" customWidth="1"/>
    <col min="3" max="12" width="9.140625" style="9"/>
    <col min="13" max="13" width="0.7109375" style="9" customWidth="1"/>
    <col min="14" max="16384" width="9.140625" style="9"/>
  </cols>
  <sheetData>
    <row r="1" spans="2:16" ht="6" customHeight="1"/>
    <row r="2" spans="2:16" ht="6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2:16" ht="28.15" customHeight="1">
      <c r="B3" s="8"/>
      <c r="C3" s="55" t="s">
        <v>0</v>
      </c>
      <c r="D3" s="55"/>
      <c r="E3" s="55"/>
      <c r="F3" s="55"/>
      <c r="G3" s="55"/>
      <c r="H3" s="55"/>
      <c r="I3" s="55"/>
      <c r="J3" s="55"/>
      <c r="K3" s="55"/>
      <c r="L3" s="55"/>
      <c r="M3" s="1"/>
      <c r="N3" s="42"/>
      <c r="O3" s="42"/>
      <c r="P3" s="42"/>
    </row>
    <row r="4" spans="2:16">
      <c r="B4" s="8"/>
      <c r="C4" s="8"/>
      <c r="D4" s="8"/>
      <c r="E4" s="8"/>
      <c r="F4" s="8"/>
      <c r="G4" s="8"/>
      <c r="H4" s="8"/>
      <c r="I4" s="8"/>
      <c r="J4" s="8"/>
      <c r="K4" s="43"/>
      <c r="L4" s="43"/>
      <c r="M4" s="8"/>
    </row>
    <row r="5" spans="2:16" ht="56.25" customHeight="1">
      <c r="B5" s="8"/>
      <c r="C5" s="56" t="s">
        <v>270</v>
      </c>
      <c r="D5" s="56"/>
      <c r="E5" s="56"/>
      <c r="F5" s="56"/>
      <c r="G5" s="56"/>
      <c r="H5" s="56"/>
      <c r="I5" s="56"/>
      <c r="J5" s="56"/>
      <c r="K5" s="56"/>
      <c r="L5" s="56"/>
      <c r="M5" s="8"/>
    </row>
    <row r="6" spans="2:16">
      <c r="B6" s="8"/>
      <c r="C6" s="8"/>
      <c r="D6" s="8"/>
      <c r="E6" s="8"/>
      <c r="F6" s="8"/>
      <c r="G6" s="8"/>
      <c r="H6" s="8"/>
      <c r="I6" s="8"/>
      <c r="J6" s="8"/>
      <c r="K6" s="43"/>
      <c r="L6" s="43"/>
      <c r="M6" s="8"/>
    </row>
    <row r="7" spans="2:16">
      <c r="B7" s="8"/>
      <c r="C7" s="53" t="s">
        <v>224</v>
      </c>
      <c r="D7" s="54"/>
      <c r="E7" s="54"/>
      <c r="F7" s="54"/>
      <c r="G7" s="54"/>
      <c r="H7" s="54"/>
      <c r="I7" s="54"/>
      <c r="J7" s="54"/>
      <c r="K7" s="54"/>
      <c r="L7" s="54"/>
      <c r="M7" s="8"/>
    </row>
    <row r="8" spans="2:16" ht="35.450000000000003" customHeight="1">
      <c r="B8" s="8"/>
      <c r="C8" s="57" t="s">
        <v>271</v>
      </c>
      <c r="D8" s="57"/>
      <c r="E8" s="57"/>
      <c r="F8" s="57"/>
      <c r="G8" s="57"/>
      <c r="H8" s="57"/>
      <c r="I8" s="57"/>
      <c r="J8" s="57"/>
      <c r="K8" s="57"/>
      <c r="L8" s="57"/>
      <c r="M8" s="8"/>
    </row>
    <row r="9" spans="2:16" ht="96" customHeight="1">
      <c r="B9" s="8"/>
      <c r="C9" s="57" t="s">
        <v>272</v>
      </c>
      <c r="D9" s="57"/>
      <c r="E9" s="57"/>
      <c r="F9" s="57"/>
      <c r="G9" s="57"/>
      <c r="H9" s="57"/>
      <c r="I9" s="57"/>
      <c r="J9" s="57"/>
      <c r="K9" s="57"/>
      <c r="L9" s="57"/>
      <c r="M9" s="8"/>
    </row>
    <row r="10" spans="2:16" ht="20.25" customHeight="1">
      <c r="B10" s="8"/>
      <c r="C10" s="53" t="s">
        <v>273</v>
      </c>
      <c r="D10" s="54"/>
      <c r="E10" s="54"/>
      <c r="F10" s="54"/>
      <c r="G10" s="54"/>
      <c r="H10" s="54"/>
      <c r="I10" s="54"/>
      <c r="J10" s="54"/>
      <c r="K10" s="54"/>
      <c r="L10" s="54"/>
      <c r="M10" s="8"/>
    </row>
    <row r="11" spans="2:16" ht="44.25" customHeight="1">
      <c r="B11" s="8"/>
      <c r="C11" s="53" t="s">
        <v>275</v>
      </c>
      <c r="D11" s="54"/>
      <c r="E11" s="54"/>
      <c r="F11" s="54"/>
      <c r="G11" s="54"/>
      <c r="H11" s="54"/>
      <c r="I11" s="54"/>
      <c r="J11" s="54"/>
      <c r="K11" s="54"/>
      <c r="L11" s="54"/>
      <c r="M11" s="8"/>
    </row>
    <row r="12" spans="2:16" ht="153" customHeight="1">
      <c r="B12" s="8"/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8"/>
    </row>
    <row r="13" spans="2:16">
      <c r="B13" s="8"/>
      <c r="C13" s="124" t="s">
        <v>274</v>
      </c>
      <c r="D13" s="125"/>
      <c r="E13" s="125"/>
      <c r="F13" s="125"/>
      <c r="G13" s="125"/>
      <c r="H13" s="125"/>
      <c r="I13" s="125"/>
      <c r="J13" s="125"/>
      <c r="K13" s="125"/>
      <c r="L13" s="125"/>
      <c r="M13" s="8"/>
    </row>
    <row r="14" spans="2:16" ht="48.6" customHeight="1">
      <c r="B14" s="8"/>
      <c r="C14" s="126" t="s">
        <v>269</v>
      </c>
      <c r="D14" s="126"/>
      <c r="E14" s="126"/>
      <c r="F14" s="126"/>
      <c r="G14" s="126"/>
      <c r="H14" s="126"/>
      <c r="I14" s="126"/>
      <c r="J14" s="126"/>
      <c r="K14" s="126"/>
      <c r="L14" s="126"/>
      <c r="M14" s="8"/>
    </row>
    <row r="15" spans="2:16" ht="4.9000000000000004" customHeight="1">
      <c r="B15" s="8"/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8"/>
    </row>
    <row r="16" spans="2:16">
      <c r="C16" s="52"/>
      <c r="D16" s="51"/>
      <c r="E16" s="51"/>
      <c r="F16" s="51"/>
      <c r="G16" s="51"/>
      <c r="H16" s="51"/>
      <c r="I16" s="51"/>
      <c r="J16" s="51"/>
      <c r="K16" s="51"/>
      <c r="L16" s="51"/>
    </row>
    <row r="17" spans="3:12">
      <c r="C17" s="52"/>
      <c r="D17" s="51"/>
      <c r="E17" s="51"/>
      <c r="F17" s="51"/>
      <c r="G17" s="51"/>
      <c r="H17" s="51"/>
      <c r="I17" s="51"/>
      <c r="J17" s="51"/>
      <c r="K17" s="51"/>
      <c r="L17" s="51"/>
    </row>
    <row r="18" spans="3:12">
      <c r="C18" s="52"/>
      <c r="D18" s="51"/>
      <c r="E18" s="51"/>
      <c r="F18" s="51"/>
      <c r="G18" s="51"/>
      <c r="H18" s="51"/>
      <c r="I18" s="51"/>
      <c r="J18" s="51"/>
      <c r="K18" s="51"/>
      <c r="L18" s="51"/>
    </row>
    <row r="19" spans="3:12">
      <c r="C19" s="52"/>
      <c r="D19" s="51"/>
      <c r="E19" s="51"/>
      <c r="F19" s="51"/>
      <c r="G19" s="51"/>
      <c r="H19" s="51"/>
      <c r="I19" s="51"/>
      <c r="J19" s="51"/>
      <c r="K19" s="51"/>
      <c r="L19" s="51"/>
    </row>
    <row r="20" spans="3:12">
      <c r="C20" s="52"/>
      <c r="D20" s="51"/>
      <c r="E20" s="51"/>
      <c r="F20" s="51"/>
      <c r="G20" s="51"/>
      <c r="H20" s="51"/>
      <c r="I20" s="51"/>
      <c r="J20" s="51"/>
      <c r="K20" s="51"/>
      <c r="L20" s="51"/>
    </row>
    <row r="21" spans="3:12">
      <c r="C21" s="52"/>
      <c r="D21" s="51"/>
      <c r="E21" s="51"/>
      <c r="F21" s="51"/>
      <c r="G21" s="51"/>
      <c r="H21" s="51"/>
      <c r="I21" s="51"/>
      <c r="J21" s="51"/>
      <c r="K21" s="51"/>
      <c r="L21" s="51"/>
    </row>
    <row r="22" spans="3:12">
      <c r="C22" s="52"/>
      <c r="D22" s="51"/>
      <c r="E22" s="51"/>
      <c r="F22" s="51"/>
      <c r="G22" s="51"/>
      <c r="H22" s="51"/>
      <c r="I22" s="51"/>
      <c r="J22" s="51"/>
      <c r="K22" s="51"/>
      <c r="L22" s="51"/>
    </row>
    <row r="23" spans="3:12">
      <c r="C23" s="52"/>
      <c r="D23" s="51"/>
      <c r="E23" s="51"/>
      <c r="F23" s="51"/>
      <c r="G23" s="51"/>
      <c r="H23" s="51"/>
      <c r="I23" s="51"/>
      <c r="J23" s="51"/>
      <c r="K23" s="51"/>
      <c r="L23" s="51"/>
    </row>
    <row r="24" spans="3:12"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3:12"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3:12"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3:12"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3:12"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3:12"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3:12"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3:12"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3:12"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3:12">
      <c r="C33" s="51"/>
      <c r="D33" s="51"/>
      <c r="E33" s="51"/>
      <c r="F33" s="51"/>
      <c r="G33" s="51"/>
      <c r="H33" s="51"/>
      <c r="I33" s="51"/>
      <c r="J33" s="51"/>
      <c r="K33" s="51"/>
      <c r="L33" s="51"/>
    </row>
  </sheetData>
  <mergeCells count="29">
    <mergeCell ref="C3:L3"/>
    <mergeCell ref="C5:L5"/>
    <mergeCell ref="C7:L7"/>
    <mergeCell ref="C8:L8"/>
    <mergeCell ref="C9:L9"/>
    <mergeCell ref="C10:L10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22:L22"/>
    <mergeCell ref="C23:L23"/>
    <mergeCell ref="C24:L24"/>
    <mergeCell ref="C30:L30"/>
    <mergeCell ref="C31:L31"/>
    <mergeCell ref="C32:L32"/>
    <mergeCell ref="C33:L33"/>
    <mergeCell ref="C25:L25"/>
    <mergeCell ref="C26:L26"/>
    <mergeCell ref="C27:L27"/>
    <mergeCell ref="C28:L28"/>
    <mergeCell ref="C29:L29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B1:BH601"/>
  <sheetViews>
    <sheetView showGridLines="0" workbookViewId="0"/>
  </sheetViews>
  <sheetFormatPr defaultColWidth="9.140625" defaultRowHeight="15.75" outlineLevelRow="1"/>
  <cols>
    <col min="1" max="2" width="0.85546875" style="9" customWidth="1"/>
    <col min="3" max="11" width="9.140625" style="9"/>
    <col min="12" max="12" width="9.140625" style="9" customWidth="1"/>
    <col min="13" max="13" width="9" style="9" customWidth="1"/>
    <col min="14" max="14" width="10.5703125" style="9" customWidth="1"/>
    <col min="15" max="17" width="9.140625" style="9"/>
    <col min="18" max="18" width="0.7109375" style="9" customWidth="1"/>
    <col min="19" max="25" width="9.140625" style="10"/>
    <col min="26" max="27" width="9.140625" style="9"/>
    <col min="28" max="28" width="18.7109375" style="9" customWidth="1"/>
    <col min="29" max="29" width="28.42578125" style="15" customWidth="1"/>
    <col min="30" max="30" width="11.7109375" style="15" customWidth="1"/>
    <col min="31" max="31" width="16" style="11" customWidth="1"/>
    <col min="32" max="32" width="9.140625" style="11"/>
    <col min="33" max="34" width="9.140625" style="9"/>
    <col min="35" max="35" width="13" style="9" customWidth="1"/>
    <col min="36" max="36" width="11.85546875" style="9" customWidth="1"/>
    <col min="37" max="37" width="13.140625" style="9" customWidth="1"/>
    <col min="38" max="38" width="11.7109375" style="9" customWidth="1"/>
    <col min="39" max="40" width="9.140625" style="9"/>
    <col min="41" max="41" width="12.42578125" style="9" customWidth="1"/>
    <col min="42" max="16384" width="9.140625" style="9"/>
  </cols>
  <sheetData>
    <row r="1" spans="2:30" ht="6" customHeight="1"/>
    <row r="2" spans="2:30" ht="6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30" ht="39" customHeight="1">
      <c r="B3" s="8"/>
      <c r="C3" s="121" t="s">
        <v>276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8"/>
      <c r="S3" s="69" t="s">
        <v>216</v>
      </c>
      <c r="T3" s="69"/>
      <c r="U3" s="69"/>
      <c r="V3" s="69"/>
      <c r="W3" s="70">
        <f>SUM(P237:Q375,P379:Q391)</f>
        <v>0</v>
      </c>
      <c r="X3" s="71"/>
    </row>
    <row r="4" spans="2:30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9"/>
      <c r="T4" s="69"/>
      <c r="U4" s="69"/>
      <c r="V4" s="69"/>
      <c r="W4" s="71"/>
      <c r="X4" s="71"/>
    </row>
    <row r="5" spans="2:30" ht="22.9" customHeight="1">
      <c r="B5" s="8"/>
      <c r="C5" s="65" t="s">
        <v>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8"/>
    </row>
    <row r="6" spans="2:30" ht="7.9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30" ht="162" customHeight="1">
      <c r="B7" s="8"/>
      <c r="C7" s="63" t="s">
        <v>260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73"/>
      <c r="Q7" s="73"/>
      <c r="R7" s="30"/>
      <c r="S7" s="72" t="str">
        <f>IF(P7="","Укажите при необходимости численность обучающихся","")</f>
        <v>Укажите при необходимости численность обучающихся</v>
      </c>
      <c r="T7" s="72"/>
      <c r="U7" s="72"/>
      <c r="V7" s="72"/>
      <c r="W7" s="72"/>
      <c r="X7" s="72"/>
      <c r="Y7" s="72"/>
      <c r="Z7" s="12"/>
      <c r="AA7" s="12"/>
      <c r="AB7" s="12"/>
      <c r="AD7" s="45">
        <f>P7</f>
        <v>0</v>
      </c>
    </row>
    <row r="8" spans="2:30" ht="4.9000000000000004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30"/>
      <c r="P8" s="2"/>
      <c r="Q8" s="2"/>
      <c r="R8" s="30"/>
      <c r="S8" s="14"/>
      <c r="T8" s="14"/>
      <c r="U8" s="14"/>
      <c r="V8" s="14"/>
      <c r="W8" s="14"/>
      <c r="X8" s="14"/>
      <c r="Y8" s="14"/>
      <c r="Z8" s="11"/>
      <c r="AA8" s="11"/>
      <c r="AB8" s="11"/>
    </row>
    <row r="9" spans="2:30" ht="15.6" customHeight="1">
      <c r="B9" s="8"/>
      <c r="C9" s="63" t="s">
        <v>34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73"/>
      <c r="Q9" s="73"/>
      <c r="R9" s="30"/>
      <c r="S9" s="72" t="str">
        <f>IF(P9="","Укажите при необходимости численность обучающихся","")</f>
        <v>Укажите при необходимости численность обучающихся</v>
      </c>
      <c r="T9" s="72"/>
      <c r="U9" s="72"/>
      <c r="V9" s="72"/>
      <c r="W9" s="72"/>
      <c r="X9" s="72"/>
      <c r="Y9" s="72"/>
      <c r="Z9" s="12"/>
      <c r="AA9" s="12"/>
      <c r="AB9" s="12"/>
      <c r="AD9" s="15">
        <f>P9*0.4</f>
        <v>0</v>
      </c>
    </row>
    <row r="10" spans="2:30" ht="6" customHeight="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30"/>
      <c r="P10" s="2"/>
      <c r="Q10" s="2"/>
      <c r="R10" s="30"/>
      <c r="S10" s="14"/>
      <c r="T10" s="14"/>
      <c r="U10" s="14"/>
      <c r="V10" s="14"/>
      <c r="W10" s="14"/>
      <c r="X10" s="14"/>
      <c r="Y10" s="14"/>
      <c r="Z10" s="11"/>
      <c r="AA10" s="11"/>
      <c r="AB10" s="11"/>
    </row>
    <row r="11" spans="2:30" ht="15.6" customHeight="1">
      <c r="B11" s="8"/>
      <c r="C11" s="63" t="s">
        <v>35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73"/>
      <c r="Q11" s="73"/>
      <c r="R11" s="30"/>
      <c r="S11" s="72" t="str">
        <f>IF(P11="","Укажите при необходимости численность обучающихся","")</f>
        <v>Укажите при необходимости численность обучающихся</v>
      </c>
      <c r="T11" s="72"/>
      <c r="U11" s="72"/>
      <c r="V11" s="72"/>
      <c r="W11" s="72"/>
      <c r="X11" s="72"/>
      <c r="Y11" s="72"/>
      <c r="Z11" s="12"/>
      <c r="AA11" s="12"/>
      <c r="AB11" s="12"/>
      <c r="AD11" s="15">
        <f>P11*0.5</f>
        <v>0</v>
      </c>
    </row>
    <row r="12" spans="2:30" ht="7.9" customHeigh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30"/>
      <c r="P12" s="2"/>
      <c r="Q12" s="2"/>
      <c r="R12" s="30"/>
      <c r="S12" s="14"/>
      <c r="T12" s="14"/>
      <c r="U12" s="14"/>
      <c r="V12" s="14"/>
      <c r="W12" s="14"/>
      <c r="X12" s="14"/>
      <c r="Y12" s="14"/>
      <c r="Z12" s="11"/>
      <c r="AA12" s="11"/>
      <c r="AB12" s="11"/>
    </row>
    <row r="13" spans="2:30" ht="48.6" customHeight="1">
      <c r="B13" s="8"/>
      <c r="C13" s="63" t="s">
        <v>261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73"/>
      <c r="Q13" s="73"/>
      <c r="R13" s="30"/>
      <c r="S13" s="72" t="str">
        <f>IF(P13="","Укажите при необходимости численность обучающихся","")</f>
        <v>Укажите при необходимости численность обучающихся</v>
      </c>
      <c r="T13" s="72"/>
      <c r="U13" s="72"/>
      <c r="V13" s="72"/>
      <c r="W13" s="72"/>
      <c r="X13" s="72"/>
      <c r="Y13" s="72"/>
      <c r="Z13" s="12"/>
      <c r="AA13" s="12"/>
      <c r="AB13" s="12"/>
      <c r="AD13" s="15">
        <f>0.25*P13</f>
        <v>0</v>
      </c>
    </row>
    <row r="14" spans="2:30" ht="6.6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30"/>
      <c r="P14" s="2"/>
      <c r="Q14" s="2"/>
      <c r="R14" s="30"/>
      <c r="S14" s="14"/>
      <c r="T14" s="14"/>
      <c r="U14" s="14"/>
      <c r="V14" s="14"/>
      <c r="W14" s="14"/>
      <c r="X14" s="14"/>
      <c r="Y14" s="14"/>
      <c r="Z14" s="11"/>
      <c r="AA14" s="11"/>
      <c r="AB14" s="11"/>
    </row>
    <row r="15" spans="2:30" ht="34.15" customHeight="1">
      <c r="B15" s="8"/>
      <c r="C15" s="63" t="s">
        <v>277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73"/>
      <c r="Q15" s="73"/>
      <c r="R15" s="30"/>
      <c r="S15" s="72" t="str">
        <f>IF(P15="","Укажите при необходимости численность обучающихся","")</f>
        <v>Укажите при необходимости численность обучающихся</v>
      </c>
      <c r="T15" s="72"/>
      <c r="U15" s="72"/>
      <c r="V15" s="72"/>
      <c r="W15" s="72"/>
      <c r="X15" s="72"/>
      <c r="Y15" s="72"/>
      <c r="Z15" s="12"/>
      <c r="AA15" s="12"/>
      <c r="AB15" s="12"/>
      <c r="AD15" s="15">
        <f>P15*1.2</f>
        <v>0</v>
      </c>
    </row>
    <row r="16" spans="2:30" ht="4.1500000000000004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30"/>
      <c r="P16" s="2"/>
      <c r="Q16" s="2"/>
      <c r="R16" s="30"/>
      <c r="S16" s="14"/>
      <c r="T16" s="14"/>
      <c r="U16" s="14"/>
      <c r="V16" s="14"/>
      <c r="W16" s="14"/>
      <c r="X16" s="14"/>
      <c r="Y16" s="14"/>
      <c r="Z16" s="11"/>
      <c r="AA16" s="11"/>
      <c r="AB16" s="11"/>
      <c r="AD16" s="45">
        <f>SUM(AD7:AD15)</f>
        <v>0</v>
      </c>
    </row>
    <row r="17" spans="2:18">
      <c r="B17" s="8"/>
      <c r="C17" s="66" t="s">
        <v>9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73"/>
      <c r="Q17" s="73"/>
      <c r="R17" s="8"/>
    </row>
    <row r="18" spans="2:18" ht="5.45" customHeigh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ht="49.9" customHeight="1">
      <c r="B19" s="8"/>
      <c r="C19" s="92" t="s">
        <v>12</v>
      </c>
      <c r="D19" s="93"/>
      <c r="E19" s="93"/>
      <c r="F19" s="94"/>
      <c r="G19" s="89" t="s">
        <v>15</v>
      </c>
      <c r="H19" s="90"/>
      <c r="I19" s="90"/>
      <c r="J19" s="90"/>
      <c r="K19" s="90"/>
      <c r="L19" s="91"/>
      <c r="M19" s="81" t="s">
        <v>20</v>
      </c>
      <c r="N19" s="83"/>
      <c r="O19" s="81" t="s">
        <v>21</v>
      </c>
      <c r="P19" s="82"/>
      <c r="Q19" s="82"/>
      <c r="R19" s="8"/>
    </row>
    <row r="20" spans="2:18" ht="173.25" customHeight="1">
      <c r="B20" s="8"/>
      <c r="C20" s="95"/>
      <c r="D20" s="96"/>
      <c r="E20" s="96"/>
      <c r="F20" s="97"/>
      <c r="G20" s="89" t="s">
        <v>13</v>
      </c>
      <c r="H20" s="91"/>
      <c r="I20" s="89" t="s">
        <v>14</v>
      </c>
      <c r="J20" s="90"/>
      <c r="K20" s="90"/>
      <c r="L20" s="91"/>
      <c r="M20" s="84"/>
      <c r="N20" s="86"/>
      <c r="O20" s="84"/>
      <c r="P20" s="85"/>
      <c r="Q20" s="85"/>
      <c r="R20" s="8"/>
    </row>
    <row r="21" spans="2:18">
      <c r="B21" s="8"/>
      <c r="C21" s="103"/>
      <c r="D21" s="104"/>
      <c r="E21" s="104"/>
      <c r="F21" s="105"/>
      <c r="G21" s="98"/>
      <c r="H21" s="99"/>
      <c r="I21" s="98"/>
      <c r="J21" s="100"/>
      <c r="K21" s="100"/>
      <c r="L21" s="99"/>
      <c r="M21" s="98"/>
      <c r="N21" s="99"/>
      <c r="O21" s="98"/>
      <c r="P21" s="100"/>
      <c r="Q21" s="99"/>
      <c r="R21" s="8"/>
    </row>
    <row r="22" spans="2:18" hidden="1" outlineLevel="1">
      <c r="B22" s="8"/>
      <c r="C22" s="103"/>
      <c r="D22" s="104"/>
      <c r="E22" s="104"/>
      <c r="F22" s="105"/>
      <c r="G22" s="98"/>
      <c r="H22" s="99"/>
      <c r="I22" s="98"/>
      <c r="J22" s="100"/>
      <c r="K22" s="100"/>
      <c r="L22" s="99"/>
      <c r="M22" s="98"/>
      <c r="N22" s="99"/>
      <c r="O22" s="98"/>
      <c r="P22" s="100"/>
      <c r="Q22" s="99"/>
      <c r="R22" s="8"/>
    </row>
    <row r="23" spans="2:18" hidden="1" outlineLevel="1">
      <c r="B23" s="8"/>
      <c r="C23" s="103"/>
      <c r="D23" s="104"/>
      <c r="E23" s="104"/>
      <c r="F23" s="105"/>
      <c r="G23" s="98"/>
      <c r="H23" s="99"/>
      <c r="I23" s="98"/>
      <c r="J23" s="100"/>
      <c r="K23" s="100"/>
      <c r="L23" s="99"/>
      <c r="M23" s="98"/>
      <c r="N23" s="99"/>
      <c r="O23" s="98"/>
      <c r="P23" s="100"/>
      <c r="Q23" s="99"/>
      <c r="R23" s="8"/>
    </row>
    <row r="24" spans="2:18" hidden="1" outlineLevel="1">
      <c r="B24" s="8"/>
      <c r="C24" s="103"/>
      <c r="D24" s="104"/>
      <c r="E24" s="104"/>
      <c r="F24" s="105"/>
      <c r="G24" s="98"/>
      <c r="H24" s="99"/>
      <c r="I24" s="98"/>
      <c r="J24" s="100"/>
      <c r="K24" s="100"/>
      <c r="L24" s="99"/>
      <c r="M24" s="98"/>
      <c r="N24" s="99"/>
      <c r="O24" s="98"/>
      <c r="P24" s="100"/>
      <c r="Q24" s="99"/>
      <c r="R24" s="8"/>
    </row>
    <row r="25" spans="2:18" hidden="1" outlineLevel="1">
      <c r="B25" s="8"/>
      <c r="C25" s="103"/>
      <c r="D25" s="104"/>
      <c r="E25" s="104"/>
      <c r="F25" s="105"/>
      <c r="G25" s="98"/>
      <c r="H25" s="99"/>
      <c r="I25" s="98"/>
      <c r="J25" s="100"/>
      <c r="K25" s="100"/>
      <c r="L25" s="99"/>
      <c r="M25" s="98"/>
      <c r="N25" s="99"/>
      <c r="O25" s="98"/>
      <c r="P25" s="100"/>
      <c r="Q25" s="99"/>
      <c r="R25" s="8"/>
    </row>
    <row r="26" spans="2:18" hidden="1" outlineLevel="1">
      <c r="B26" s="8"/>
      <c r="C26" s="103"/>
      <c r="D26" s="104"/>
      <c r="E26" s="104"/>
      <c r="F26" s="105"/>
      <c r="G26" s="98"/>
      <c r="H26" s="99"/>
      <c r="I26" s="98"/>
      <c r="J26" s="100"/>
      <c r="K26" s="100"/>
      <c r="L26" s="99"/>
      <c r="M26" s="98"/>
      <c r="N26" s="99"/>
      <c r="O26" s="98"/>
      <c r="P26" s="100"/>
      <c r="Q26" s="99"/>
      <c r="R26" s="8"/>
    </row>
    <row r="27" spans="2:18" hidden="1" outlineLevel="1">
      <c r="B27" s="8"/>
      <c r="C27" s="103"/>
      <c r="D27" s="104"/>
      <c r="E27" s="104"/>
      <c r="F27" s="105"/>
      <c r="G27" s="98"/>
      <c r="H27" s="99"/>
      <c r="I27" s="98"/>
      <c r="J27" s="100"/>
      <c r="K27" s="100"/>
      <c r="L27" s="99"/>
      <c r="M27" s="98"/>
      <c r="N27" s="99"/>
      <c r="O27" s="98"/>
      <c r="P27" s="100"/>
      <c r="Q27" s="99"/>
      <c r="R27" s="8"/>
    </row>
    <row r="28" spans="2:18" hidden="1" outlineLevel="1">
      <c r="B28" s="8"/>
      <c r="C28" s="103"/>
      <c r="D28" s="104"/>
      <c r="E28" s="104"/>
      <c r="F28" s="105"/>
      <c r="G28" s="98"/>
      <c r="H28" s="99"/>
      <c r="I28" s="98"/>
      <c r="J28" s="100"/>
      <c r="K28" s="100"/>
      <c r="L28" s="99"/>
      <c r="M28" s="98"/>
      <c r="N28" s="99"/>
      <c r="O28" s="98"/>
      <c r="P28" s="100"/>
      <c r="Q28" s="99"/>
      <c r="R28" s="8"/>
    </row>
    <row r="29" spans="2:18" hidden="1" outlineLevel="1">
      <c r="B29" s="8"/>
      <c r="C29" s="103"/>
      <c r="D29" s="104"/>
      <c r="E29" s="104"/>
      <c r="F29" s="105"/>
      <c r="G29" s="98"/>
      <c r="H29" s="99"/>
      <c r="I29" s="98"/>
      <c r="J29" s="100"/>
      <c r="K29" s="100"/>
      <c r="L29" s="99"/>
      <c r="M29" s="98"/>
      <c r="N29" s="99"/>
      <c r="O29" s="98"/>
      <c r="P29" s="100"/>
      <c r="Q29" s="99"/>
      <c r="R29" s="8"/>
    </row>
    <row r="30" spans="2:18" hidden="1" outlineLevel="1">
      <c r="B30" s="8"/>
      <c r="C30" s="103"/>
      <c r="D30" s="104"/>
      <c r="E30" s="104"/>
      <c r="F30" s="105"/>
      <c r="G30" s="98"/>
      <c r="H30" s="99"/>
      <c r="I30" s="98"/>
      <c r="J30" s="100"/>
      <c r="K30" s="100"/>
      <c r="L30" s="99"/>
      <c r="M30" s="98"/>
      <c r="N30" s="99"/>
      <c r="O30" s="98"/>
      <c r="P30" s="100"/>
      <c r="Q30" s="99"/>
      <c r="R30" s="8"/>
    </row>
    <row r="31" spans="2:18" collapsed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15.6" customHeight="1">
      <c r="B32" s="8"/>
      <c r="C32" s="63" t="s">
        <v>17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73"/>
      <c r="Q32" s="73"/>
      <c r="R32" s="8"/>
    </row>
    <row r="33" spans="2:26" ht="6.6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26" ht="33" customHeight="1">
      <c r="B34" s="8"/>
      <c r="C34" s="63" t="s">
        <v>18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73"/>
      <c r="Q34" s="73"/>
      <c r="R34" s="8"/>
      <c r="Z34" s="9" t="s">
        <v>23</v>
      </c>
    </row>
    <row r="35" spans="2:26" ht="6" customHeigh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2:26" ht="34.9" customHeight="1">
      <c r="B36" s="8"/>
      <c r="C36" s="63" t="s">
        <v>22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80"/>
      <c r="Q36" s="80"/>
      <c r="R36" s="8"/>
    </row>
    <row r="37" spans="2:26" ht="7.15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26" ht="15.6" customHeight="1">
      <c r="B38" s="8"/>
      <c r="C38" s="63" t="s">
        <v>25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80"/>
      <c r="Q38" s="80"/>
      <c r="R38" s="8"/>
    </row>
    <row r="39" spans="2:26" ht="5.45" customHeight="1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26" ht="82.9" customHeight="1">
      <c r="B40" s="8"/>
      <c r="C40" s="63" t="s">
        <v>27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73"/>
      <c r="Q40" s="73"/>
      <c r="R40" s="8"/>
    </row>
    <row r="41" spans="2:26" ht="7.9" customHeight="1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26" ht="32.450000000000003" customHeight="1">
      <c r="B42" s="8"/>
      <c r="C42" s="63" t="s">
        <v>29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80"/>
      <c r="Q42" s="80"/>
      <c r="R42" s="8"/>
    </row>
    <row r="43" spans="2:26" ht="5.45" customHeight="1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26" ht="19.149999999999999" customHeight="1">
      <c r="B44" s="8"/>
      <c r="C44" s="63" t="s">
        <v>31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80"/>
      <c r="Q44" s="80"/>
      <c r="R44" s="8"/>
    </row>
    <row r="45" spans="2:26" ht="4.1500000000000004" customHeight="1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2:26" ht="21" customHeight="1">
      <c r="B46" s="8"/>
      <c r="C46" s="63" t="s">
        <v>39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80"/>
      <c r="Q46" s="80"/>
      <c r="R46" s="8"/>
    </row>
    <row r="47" spans="2:26" ht="6.6" customHeigh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2:26" ht="15.6" customHeight="1">
      <c r="B48" s="8"/>
      <c r="C48" s="63" t="s">
        <v>41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80"/>
      <c r="Q48" s="80"/>
      <c r="R48" s="8"/>
    </row>
    <row r="49" spans="2:18" ht="4.9000000000000004" customHeight="1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2:18" ht="15.6" customHeight="1">
      <c r="B50" s="8"/>
      <c r="C50" s="63" t="s">
        <v>43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80"/>
      <c r="Q50" s="80"/>
      <c r="R50" s="8"/>
    </row>
    <row r="51" spans="2:18" ht="6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2:18" ht="31.15" customHeight="1">
      <c r="B52" s="8"/>
      <c r="C52" s="81" t="s">
        <v>45</v>
      </c>
      <c r="D52" s="82"/>
      <c r="E52" s="82"/>
      <c r="F52" s="82"/>
      <c r="G52" s="82"/>
      <c r="H52" s="82"/>
      <c r="I52" s="83"/>
      <c r="J52" s="87" t="s">
        <v>46</v>
      </c>
      <c r="K52" s="87" t="s">
        <v>47</v>
      </c>
      <c r="L52" s="89" t="s">
        <v>48</v>
      </c>
      <c r="M52" s="90"/>
      <c r="N52" s="90"/>
      <c r="O52" s="91"/>
      <c r="P52" s="81" t="s">
        <v>217</v>
      </c>
      <c r="Q52" s="83"/>
      <c r="R52" s="8"/>
    </row>
    <row r="53" spans="2:18" ht="82.9" customHeight="1">
      <c r="B53" s="8"/>
      <c r="C53" s="84"/>
      <c r="D53" s="85"/>
      <c r="E53" s="85"/>
      <c r="F53" s="85"/>
      <c r="G53" s="85"/>
      <c r="H53" s="85"/>
      <c r="I53" s="86"/>
      <c r="J53" s="88"/>
      <c r="K53" s="88"/>
      <c r="L53" s="4" t="s">
        <v>49</v>
      </c>
      <c r="M53" s="4" t="s">
        <v>50</v>
      </c>
      <c r="N53" s="4" t="s">
        <v>51</v>
      </c>
      <c r="O53" s="4" t="s">
        <v>52</v>
      </c>
      <c r="P53" s="84"/>
      <c r="Q53" s="86"/>
      <c r="R53" s="8"/>
    </row>
    <row r="54" spans="2:18" ht="15.6" customHeight="1">
      <c r="B54" s="8"/>
      <c r="C54" s="75"/>
      <c r="D54" s="76"/>
      <c r="E54" s="76"/>
      <c r="F54" s="76"/>
      <c r="G54" s="76"/>
      <c r="H54" s="76"/>
      <c r="I54" s="77"/>
      <c r="J54" s="3"/>
      <c r="K54" s="3"/>
      <c r="L54" s="3"/>
      <c r="M54" s="3"/>
      <c r="N54" s="3"/>
      <c r="O54" s="3"/>
      <c r="P54" s="101"/>
      <c r="Q54" s="102"/>
      <c r="R54" s="8"/>
    </row>
    <row r="55" spans="2:18" ht="15.6" hidden="1" customHeight="1" outlineLevel="1">
      <c r="B55" s="8"/>
      <c r="C55" s="75"/>
      <c r="D55" s="76"/>
      <c r="E55" s="76"/>
      <c r="F55" s="76"/>
      <c r="G55" s="76"/>
      <c r="H55" s="76"/>
      <c r="I55" s="77"/>
      <c r="J55" s="3"/>
      <c r="K55" s="3"/>
      <c r="L55" s="3"/>
      <c r="M55" s="3"/>
      <c r="N55" s="3"/>
      <c r="O55" s="3"/>
      <c r="P55" s="101"/>
      <c r="Q55" s="102"/>
      <c r="R55" s="8"/>
    </row>
    <row r="56" spans="2:18" ht="15.6" hidden="1" customHeight="1" outlineLevel="1">
      <c r="B56" s="8"/>
      <c r="C56" s="75"/>
      <c r="D56" s="76"/>
      <c r="E56" s="76"/>
      <c r="F56" s="76"/>
      <c r="G56" s="76"/>
      <c r="H56" s="76"/>
      <c r="I56" s="77"/>
      <c r="J56" s="3"/>
      <c r="K56" s="3"/>
      <c r="L56" s="3"/>
      <c r="M56" s="3"/>
      <c r="N56" s="3"/>
      <c r="O56" s="3"/>
      <c r="P56" s="101"/>
      <c r="Q56" s="102"/>
      <c r="R56" s="8"/>
    </row>
    <row r="57" spans="2:18" ht="15.6" hidden="1" customHeight="1" outlineLevel="1">
      <c r="B57" s="8"/>
      <c r="C57" s="75"/>
      <c r="D57" s="76"/>
      <c r="E57" s="76"/>
      <c r="F57" s="76"/>
      <c r="G57" s="76"/>
      <c r="H57" s="76"/>
      <c r="I57" s="77"/>
      <c r="J57" s="3"/>
      <c r="K57" s="3"/>
      <c r="L57" s="3"/>
      <c r="M57" s="3"/>
      <c r="N57" s="3"/>
      <c r="O57" s="3"/>
      <c r="P57" s="101"/>
      <c r="Q57" s="102"/>
      <c r="R57" s="8"/>
    </row>
    <row r="58" spans="2:18" ht="15.6" hidden="1" customHeight="1" outlineLevel="1">
      <c r="B58" s="8"/>
      <c r="C58" s="75"/>
      <c r="D58" s="76"/>
      <c r="E58" s="76"/>
      <c r="F58" s="76"/>
      <c r="G58" s="76"/>
      <c r="H58" s="76"/>
      <c r="I58" s="77"/>
      <c r="J58" s="3"/>
      <c r="K58" s="3"/>
      <c r="L58" s="3"/>
      <c r="M58" s="3"/>
      <c r="N58" s="3"/>
      <c r="O58" s="3"/>
      <c r="P58" s="101"/>
      <c r="Q58" s="102"/>
      <c r="R58" s="8"/>
    </row>
    <row r="59" spans="2:18" ht="15.6" hidden="1" customHeight="1" outlineLevel="1">
      <c r="B59" s="8"/>
      <c r="C59" s="75"/>
      <c r="D59" s="76"/>
      <c r="E59" s="76"/>
      <c r="F59" s="76"/>
      <c r="G59" s="76"/>
      <c r="H59" s="76"/>
      <c r="I59" s="77"/>
      <c r="J59" s="3"/>
      <c r="K59" s="3"/>
      <c r="L59" s="3"/>
      <c r="M59" s="3"/>
      <c r="N59" s="3"/>
      <c r="O59" s="3"/>
      <c r="P59" s="101"/>
      <c r="Q59" s="102"/>
      <c r="R59" s="8"/>
    </row>
    <row r="60" spans="2:18" ht="15.6" hidden="1" customHeight="1" outlineLevel="1">
      <c r="B60" s="8"/>
      <c r="C60" s="75"/>
      <c r="D60" s="76"/>
      <c r="E60" s="76"/>
      <c r="F60" s="76"/>
      <c r="G60" s="76"/>
      <c r="H60" s="76"/>
      <c r="I60" s="77"/>
      <c r="J60" s="3"/>
      <c r="K60" s="3"/>
      <c r="L60" s="3"/>
      <c r="M60" s="3"/>
      <c r="N60" s="3"/>
      <c r="O60" s="3"/>
      <c r="P60" s="101"/>
      <c r="Q60" s="102"/>
      <c r="R60" s="8"/>
    </row>
    <row r="61" spans="2:18" ht="15.6" hidden="1" customHeight="1" outlineLevel="1">
      <c r="B61" s="8"/>
      <c r="C61" s="75"/>
      <c r="D61" s="76"/>
      <c r="E61" s="76"/>
      <c r="F61" s="76"/>
      <c r="G61" s="76"/>
      <c r="H61" s="76"/>
      <c r="I61" s="77"/>
      <c r="J61" s="3"/>
      <c r="K61" s="3"/>
      <c r="L61" s="3"/>
      <c r="M61" s="3"/>
      <c r="N61" s="3"/>
      <c r="O61" s="3"/>
      <c r="P61" s="101"/>
      <c r="Q61" s="102"/>
      <c r="R61" s="8"/>
    </row>
    <row r="62" spans="2:18" ht="15.6" hidden="1" customHeight="1" outlineLevel="1">
      <c r="B62" s="8"/>
      <c r="C62" s="75"/>
      <c r="D62" s="76"/>
      <c r="E62" s="76"/>
      <c r="F62" s="76"/>
      <c r="G62" s="76"/>
      <c r="H62" s="76"/>
      <c r="I62" s="77"/>
      <c r="J62" s="3"/>
      <c r="K62" s="3"/>
      <c r="L62" s="3"/>
      <c r="M62" s="3"/>
      <c r="N62" s="3"/>
      <c r="O62" s="3"/>
      <c r="P62" s="101"/>
      <c r="Q62" s="102"/>
      <c r="R62" s="8"/>
    </row>
    <row r="63" spans="2:18" ht="15.6" hidden="1" customHeight="1" outlineLevel="1">
      <c r="B63" s="8"/>
      <c r="C63" s="75"/>
      <c r="D63" s="76"/>
      <c r="E63" s="76"/>
      <c r="F63" s="76"/>
      <c r="G63" s="76"/>
      <c r="H63" s="76"/>
      <c r="I63" s="77"/>
      <c r="J63" s="3"/>
      <c r="K63" s="3"/>
      <c r="L63" s="3"/>
      <c r="M63" s="3"/>
      <c r="N63" s="3"/>
      <c r="O63" s="3"/>
      <c r="P63" s="101"/>
      <c r="Q63" s="102"/>
      <c r="R63" s="8"/>
    </row>
    <row r="64" spans="2:18" ht="15.6" customHeight="1" collapsed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2:18" ht="35.450000000000003" customHeight="1">
      <c r="B65" s="8"/>
      <c r="C65" s="63" t="s">
        <v>59</v>
      </c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73"/>
      <c r="Q65" s="73"/>
      <c r="R65" s="8"/>
    </row>
    <row r="66" spans="2:18" ht="7.9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2:18" ht="31.9" customHeight="1">
      <c r="B67" s="8"/>
      <c r="C67" s="63" t="s">
        <v>60</v>
      </c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73"/>
      <c r="Q67" s="73"/>
      <c r="R67" s="8"/>
    </row>
    <row r="68" spans="2:18" ht="4.9000000000000004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2:18" ht="51.6" customHeight="1">
      <c r="B69" s="8"/>
      <c r="C69" s="63" t="s">
        <v>62</v>
      </c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73"/>
      <c r="Q69" s="73"/>
      <c r="R69" s="8"/>
    </row>
    <row r="70" spans="2:18" ht="4.1500000000000004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2:18" ht="32.450000000000003" customHeight="1">
      <c r="B71" s="8"/>
      <c r="C71" s="63" t="s">
        <v>262</v>
      </c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73"/>
      <c r="Q71" s="73"/>
      <c r="R71" s="8"/>
    </row>
    <row r="72" spans="2:18" ht="7.15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2:18" ht="34.15" customHeight="1">
      <c r="B73" s="8"/>
      <c r="C73" s="63" t="s">
        <v>263</v>
      </c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73"/>
      <c r="Q73" s="73"/>
      <c r="R73" s="8"/>
    </row>
    <row r="74" spans="2:18" ht="4.9000000000000004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2:18" ht="15.6" customHeight="1">
      <c r="B75" s="8"/>
      <c r="C75" s="63" t="s">
        <v>63</v>
      </c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73"/>
      <c r="Q75" s="73"/>
      <c r="R75" s="8"/>
    </row>
    <row r="76" spans="2:18" ht="6.6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2:18" ht="50.45" customHeight="1">
      <c r="B77" s="8"/>
      <c r="C77" s="63" t="s">
        <v>65</v>
      </c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73"/>
      <c r="Q77" s="73"/>
      <c r="R77" s="8"/>
    </row>
    <row r="78" spans="2:18" ht="3.6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2:18" ht="49.15" customHeight="1">
      <c r="B79" s="8"/>
      <c r="C79" s="63" t="s">
        <v>66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73"/>
      <c r="Q79" s="73"/>
      <c r="R79" s="8"/>
    </row>
    <row r="80" spans="2:18" ht="5.45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2:18" ht="79.900000000000006" customHeight="1">
      <c r="B81" s="8"/>
      <c r="C81" s="63" t="s">
        <v>67</v>
      </c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73"/>
      <c r="Q81" s="73"/>
      <c r="R81" s="8"/>
    </row>
    <row r="82" spans="2:18" ht="4.1500000000000004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2:18" ht="31.9" customHeight="1">
      <c r="B83" s="8"/>
      <c r="C83" s="63" t="s">
        <v>68</v>
      </c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73"/>
      <c r="Q83" s="73"/>
      <c r="R83" s="8"/>
    </row>
    <row r="84" spans="2:18" ht="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2:18" ht="33" customHeight="1">
      <c r="B85" s="8"/>
      <c r="C85" s="63" t="s">
        <v>69</v>
      </c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73"/>
      <c r="Q85" s="73"/>
      <c r="R85" s="8"/>
    </row>
    <row r="86" spans="2:18" ht="6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2:18" ht="31.15" customHeight="1">
      <c r="B87" s="8"/>
      <c r="C87" s="63" t="s">
        <v>70</v>
      </c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73"/>
      <c r="Q87" s="73"/>
      <c r="R87" s="8"/>
    </row>
    <row r="88" spans="2:18" ht="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2:18" ht="34.15" customHeight="1">
      <c r="B89" s="8"/>
      <c r="C89" s="63" t="s">
        <v>71</v>
      </c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73"/>
      <c r="Q89" s="73"/>
      <c r="R89" s="8"/>
    </row>
    <row r="90" spans="2:18" ht="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2:18" ht="64.150000000000006" customHeight="1">
      <c r="B91" s="8"/>
      <c r="C91" s="63" t="s">
        <v>72</v>
      </c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73"/>
      <c r="Q91" s="73"/>
      <c r="R91" s="8"/>
    </row>
    <row r="92" spans="2:18" ht="4.1500000000000004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2:18" ht="30" customHeight="1">
      <c r="B93" s="8"/>
      <c r="C93" s="63" t="s">
        <v>73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73"/>
      <c r="Q93" s="73"/>
      <c r="R93" s="8"/>
    </row>
    <row r="94" spans="2:18" ht="3.6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2:18" ht="49.9" customHeight="1">
      <c r="B95" s="8"/>
      <c r="C95" s="63" t="s">
        <v>74</v>
      </c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73"/>
      <c r="Q95" s="73"/>
      <c r="R95" s="8"/>
    </row>
    <row r="96" spans="2:18" ht="6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2:18" ht="32.450000000000003" customHeight="1">
      <c r="B97" s="8"/>
      <c r="C97" s="63" t="s">
        <v>76</v>
      </c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73"/>
      <c r="Q97" s="73"/>
      <c r="R97" s="8"/>
    </row>
    <row r="98" spans="2:18" ht="4.1500000000000004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2:18" ht="25.15" customHeight="1">
      <c r="B99" s="8"/>
      <c r="C99" s="63" t="s">
        <v>264</v>
      </c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74"/>
      <c r="Q99" s="74"/>
      <c r="R99" s="8"/>
    </row>
    <row r="100" spans="2:18" ht="4.1500000000000004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2:18" ht="63" customHeight="1">
      <c r="B101" s="8"/>
      <c r="C101" s="63" t="s">
        <v>78</v>
      </c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73"/>
      <c r="Q101" s="73"/>
      <c r="R101" s="8"/>
    </row>
    <row r="102" spans="2:18" ht="6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2:18" ht="64.150000000000006" customHeight="1">
      <c r="B103" s="8"/>
      <c r="C103" s="63" t="s">
        <v>80</v>
      </c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73"/>
      <c r="Q103" s="73"/>
      <c r="R103" s="8"/>
    </row>
    <row r="104" spans="2:18" ht="4.9000000000000004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2:18" ht="33" customHeight="1">
      <c r="B105" s="8"/>
      <c r="C105" s="63" t="s">
        <v>81</v>
      </c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73"/>
      <c r="Q105" s="73"/>
      <c r="R105" s="8"/>
    </row>
    <row r="106" spans="2:18" ht="6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2:18" ht="15.6" customHeight="1">
      <c r="B107" s="8"/>
      <c r="C107" s="63" t="s">
        <v>85</v>
      </c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73"/>
      <c r="Q107" s="73"/>
      <c r="R107" s="8"/>
    </row>
    <row r="108" spans="2:18" ht="7.15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2:18" ht="15.6" customHeight="1">
      <c r="B109" s="8"/>
      <c r="C109" s="63" t="s">
        <v>265</v>
      </c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73"/>
      <c r="Q109" s="73"/>
      <c r="R109" s="8"/>
    </row>
    <row r="110" spans="2:18" ht="6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2:18" ht="15.6" customHeight="1">
      <c r="B111" s="8"/>
      <c r="C111" s="63" t="s">
        <v>84</v>
      </c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73"/>
      <c r="Q111" s="73"/>
      <c r="R111" s="8"/>
    </row>
    <row r="112" spans="2:18" ht="7.9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2:18" ht="15.6" customHeight="1">
      <c r="B113" s="8"/>
      <c r="C113" s="63" t="s">
        <v>87</v>
      </c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73"/>
      <c r="Q113" s="73"/>
      <c r="R113" s="8"/>
    </row>
    <row r="114" spans="2:18" ht="5.45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2:18" ht="25.15" customHeight="1">
      <c r="B115" s="8"/>
      <c r="C115" s="63" t="s">
        <v>89</v>
      </c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74"/>
      <c r="Q115" s="74"/>
      <c r="R115" s="8"/>
    </row>
    <row r="116" spans="2:18" ht="7.15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2:18" ht="25.15" customHeight="1">
      <c r="B117" s="8"/>
      <c r="C117" s="63" t="s">
        <v>91</v>
      </c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74"/>
      <c r="Q117" s="74"/>
      <c r="R117" s="8"/>
    </row>
    <row r="118" spans="2:18" ht="5.45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2:18" ht="15.6" customHeight="1">
      <c r="B119" s="8"/>
      <c r="C119" s="63" t="s">
        <v>94</v>
      </c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73"/>
      <c r="Q119" s="73"/>
      <c r="R119" s="8"/>
    </row>
    <row r="120" spans="2:18" ht="7.9" customHeight="1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2:18" ht="48.6" customHeight="1">
      <c r="B121" s="8"/>
      <c r="C121" s="63" t="s">
        <v>96</v>
      </c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73"/>
      <c r="Q121" s="73"/>
      <c r="R121" s="8"/>
    </row>
    <row r="122" spans="2:18" ht="7.15" customHeight="1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2:18" ht="25.15" customHeight="1">
      <c r="B123" s="8"/>
      <c r="C123" s="63" t="s">
        <v>266</v>
      </c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74"/>
      <c r="Q123" s="74"/>
      <c r="R123" s="8"/>
    </row>
    <row r="124" spans="2:18" ht="7.15" customHeigh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2:18" ht="15.6" customHeight="1">
      <c r="B125" s="8"/>
      <c r="C125" s="63" t="s">
        <v>100</v>
      </c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73"/>
      <c r="Q125" s="73"/>
      <c r="R125" s="8"/>
    </row>
    <row r="126" spans="2:18" ht="6.6" customHeight="1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2:18" ht="34.9" customHeight="1">
      <c r="B127" s="8"/>
      <c r="C127" s="63" t="s">
        <v>99</v>
      </c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74"/>
      <c r="Q127" s="74"/>
      <c r="R127" s="8"/>
    </row>
    <row r="128" spans="2:18" ht="6.6" customHeight="1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2:18" ht="15.6" customHeight="1">
      <c r="B129" s="8"/>
      <c r="C129" s="63" t="s">
        <v>101</v>
      </c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73"/>
      <c r="Q129" s="73"/>
      <c r="R129" s="8"/>
    </row>
    <row r="130" spans="2:18" ht="5.45" customHeight="1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2:18" ht="78.599999999999994" customHeight="1">
      <c r="B131" s="8"/>
      <c r="C131" s="63" t="s">
        <v>110</v>
      </c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74"/>
      <c r="Q131" s="74"/>
      <c r="R131" s="8"/>
    </row>
    <row r="132" spans="2:18" ht="6.6" customHeight="1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2:18" ht="67.900000000000006" customHeight="1">
      <c r="B133" s="8"/>
      <c r="C133" s="63" t="s">
        <v>111</v>
      </c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74"/>
      <c r="Q133" s="74"/>
      <c r="R133" s="8"/>
    </row>
    <row r="134" spans="2:18" ht="6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2:18" ht="48.6" customHeight="1">
      <c r="B135" s="8"/>
      <c r="C135" s="63" t="s">
        <v>113</v>
      </c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73"/>
      <c r="Q135" s="73"/>
      <c r="R135" s="8"/>
    </row>
    <row r="136" spans="2:18" ht="4.9000000000000004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2:18" ht="15.6" customHeight="1">
      <c r="B137" s="8"/>
      <c r="C137" s="63" t="s">
        <v>114</v>
      </c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73"/>
      <c r="Q137" s="73"/>
      <c r="R137" s="8"/>
    </row>
    <row r="138" spans="2:18" ht="6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2:18" ht="80.45" customHeight="1">
      <c r="B139" s="8"/>
      <c r="C139" s="63" t="s">
        <v>117</v>
      </c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73"/>
      <c r="Q139" s="73"/>
      <c r="R139" s="8"/>
    </row>
    <row r="140" spans="2:18" ht="6.6" customHeight="1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2:18" ht="15.6" customHeight="1">
      <c r="B141" s="8"/>
      <c r="C141" s="63" t="s">
        <v>119</v>
      </c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74"/>
      <c r="Q141" s="74"/>
      <c r="R141" s="8"/>
    </row>
    <row r="142" spans="2:18" ht="7.15" customHeight="1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2:18" ht="15.6" customHeight="1">
      <c r="B143" s="8"/>
      <c r="C143" s="63" t="s">
        <v>120</v>
      </c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74"/>
      <c r="Q143" s="74"/>
      <c r="R143" s="8"/>
    </row>
    <row r="144" spans="2:18" ht="7.15" customHeight="1">
      <c r="B144" s="8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5"/>
      <c r="Q144" s="5"/>
      <c r="R144" s="8"/>
    </row>
    <row r="145" spans="2:18" ht="32.450000000000003" customHeight="1">
      <c r="B145" s="8"/>
      <c r="C145" s="63" t="s">
        <v>123</v>
      </c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74"/>
      <c r="Q145" s="74"/>
      <c r="R145" s="8"/>
    </row>
    <row r="146" spans="2:18" ht="6.6" customHeight="1">
      <c r="B146" s="8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5"/>
      <c r="Q146" s="5"/>
      <c r="R146" s="8"/>
    </row>
    <row r="147" spans="2:18" ht="36" customHeight="1">
      <c r="B147" s="8"/>
      <c r="C147" s="63" t="s">
        <v>126</v>
      </c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74"/>
      <c r="Q147" s="74"/>
      <c r="R147" s="8"/>
    </row>
    <row r="148" spans="2:18" ht="5.45" customHeight="1">
      <c r="B148" s="8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5"/>
      <c r="Q148" s="5"/>
      <c r="R148" s="8"/>
    </row>
    <row r="149" spans="2:18" ht="16.899999999999999" customHeight="1">
      <c r="B149" s="8"/>
      <c r="C149" s="63" t="s">
        <v>127</v>
      </c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74"/>
      <c r="Q149" s="74"/>
      <c r="R149" s="8"/>
    </row>
    <row r="150" spans="2:18" ht="6.6" customHeight="1">
      <c r="B150" s="8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5"/>
      <c r="Q150" s="5"/>
      <c r="R150" s="8"/>
    </row>
    <row r="151" spans="2:18" ht="15.6" customHeight="1">
      <c r="B151" s="8"/>
      <c r="C151" s="63" t="s">
        <v>129</v>
      </c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74"/>
      <c r="Q151" s="74"/>
      <c r="R151" s="8"/>
    </row>
    <row r="152" spans="2:18" ht="6" customHeight="1">
      <c r="B152" s="8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5"/>
      <c r="Q152" s="5"/>
      <c r="R152" s="8"/>
    </row>
    <row r="153" spans="2:18" ht="15.6" customHeight="1">
      <c r="B153" s="8"/>
      <c r="C153" s="63" t="s">
        <v>132</v>
      </c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73"/>
      <c r="Q153" s="73"/>
      <c r="R153" s="8"/>
    </row>
    <row r="154" spans="2:18" ht="6.6" customHeight="1">
      <c r="B154" s="8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5"/>
      <c r="Q154" s="5"/>
      <c r="R154" s="8"/>
    </row>
    <row r="155" spans="2:18" ht="34.9" customHeight="1">
      <c r="B155" s="8"/>
      <c r="C155" s="63" t="s">
        <v>137</v>
      </c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73"/>
      <c r="Q155" s="73"/>
      <c r="R155" s="8"/>
    </row>
    <row r="156" spans="2:18" ht="7.9" customHeight="1">
      <c r="B156" s="8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5"/>
      <c r="Q156" s="5"/>
      <c r="R156" s="8"/>
    </row>
    <row r="157" spans="2:18" ht="37.15" customHeight="1">
      <c r="B157" s="8"/>
      <c r="C157" s="63" t="s">
        <v>138</v>
      </c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73"/>
      <c r="Q157" s="73"/>
      <c r="R157" s="8"/>
    </row>
    <row r="158" spans="2:18" ht="5.45" customHeight="1">
      <c r="B158" s="8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5"/>
      <c r="Q158" s="5"/>
      <c r="R158" s="8"/>
    </row>
    <row r="159" spans="2:18" ht="15.6" customHeight="1">
      <c r="B159" s="8"/>
      <c r="C159" s="81" t="s">
        <v>140</v>
      </c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3"/>
      <c r="P159" s="87" t="s">
        <v>141</v>
      </c>
      <c r="Q159" s="87" t="s">
        <v>47</v>
      </c>
      <c r="R159" s="8"/>
    </row>
    <row r="160" spans="2:18" ht="49.15" customHeight="1">
      <c r="B160" s="8"/>
      <c r="C160" s="84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6"/>
      <c r="P160" s="88"/>
      <c r="Q160" s="88"/>
      <c r="R160" s="8"/>
    </row>
    <row r="161" spans="2:18" ht="15.6" customHeight="1">
      <c r="B161" s="8"/>
      <c r="C161" s="75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7"/>
      <c r="P161" s="3"/>
      <c r="Q161" s="3"/>
      <c r="R161" s="8"/>
    </row>
    <row r="162" spans="2:18" ht="15.6" hidden="1" customHeight="1" outlineLevel="1">
      <c r="B162" s="8"/>
      <c r="C162" s="75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7"/>
      <c r="P162" s="3"/>
      <c r="Q162" s="3"/>
      <c r="R162" s="8"/>
    </row>
    <row r="163" spans="2:18" hidden="1" outlineLevel="1">
      <c r="B163" s="8"/>
      <c r="C163" s="75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7"/>
      <c r="P163" s="3"/>
      <c r="Q163" s="3"/>
      <c r="R163" s="8"/>
    </row>
    <row r="164" spans="2:18" hidden="1" outlineLevel="1">
      <c r="B164" s="8"/>
      <c r="C164" s="75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7"/>
      <c r="P164" s="3"/>
      <c r="Q164" s="3"/>
      <c r="R164" s="8"/>
    </row>
    <row r="165" spans="2:18" hidden="1" outlineLevel="1">
      <c r="B165" s="8"/>
      <c r="C165" s="75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7"/>
      <c r="P165" s="3"/>
      <c r="Q165" s="3"/>
      <c r="R165" s="8"/>
    </row>
    <row r="166" spans="2:18" hidden="1" outlineLevel="1">
      <c r="B166" s="8"/>
      <c r="C166" s="75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7"/>
      <c r="P166" s="3"/>
      <c r="Q166" s="3"/>
      <c r="R166" s="8"/>
    </row>
    <row r="167" spans="2:18" hidden="1" outlineLevel="1">
      <c r="B167" s="8"/>
      <c r="C167" s="75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7"/>
      <c r="P167" s="3"/>
      <c r="Q167" s="3"/>
      <c r="R167" s="8"/>
    </row>
    <row r="168" spans="2:18" hidden="1" outlineLevel="1">
      <c r="B168" s="8"/>
      <c r="C168" s="75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7"/>
      <c r="P168" s="3"/>
      <c r="Q168" s="3"/>
      <c r="R168" s="8"/>
    </row>
    <row r="169" spans="2:18" hidden="1" outlineLevel="1">
      <c r="B169" s="8"/>
      <c r="C169" s="75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7"/>
      <c r="P169" s="3"/>
      <c r="Q169" s="3"/>
      <c r="R169" s="8"/>
    </row>
    <row r="170" spans="2:18" ht="15.6" hidden="1" customHeight="1" outlineLevel="1">
      <c r="B170" s="8"/>
      <c r="C170" s="75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7"/>
      <c r="P170" s="3"/>
      <c r="Q170" s="3"/>
      <c r="R170" s="8"/>
    </row>
    <row r="171" spans="2:18" collapsed="1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ht="15.6" customHeight="1">
      <c r="B172" s="8"/>
      <c r="C172" s="81" t="s">
        <v>143</v>
      </c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3"/>
      <c r="P172" s="81" t="s">
        <v>144</v>
      </c>
      <c r="Q172" s="83"/>
      <c r="R172" s="8"/>
    </row>
    <row r="173" spans="2:18">
      <c r="B173" s="8"/>
      <c r="C173" s="84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6"/>
      <c r="P173" s="84"/>
      <c r="Q173" s="86"/>
      <c r="R173" s="8"/>
    </row>
    <row r="174" spans="2:18">
      <c r="B174" s="8"/>
      <c r="C174" s="75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7"/>
      <c r="P174" s="78"/>
      <c r="Q174" s="79"/>
      <c r="R174" s="8"/>
    </row>
    <row r="175" spans="2:18" hidden="1" outlineLevel="1">
      <c r="B175" s="8"/>
      <c r="C175" s="75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7"/>
      <c r="P175" s="78"/>
      <c r="Q175" s="79"/>
      <c r="R175" s="8"/>
    </row>
    <row r="176" spans="2:18" hidden="1" outlineLevel="1">
      <c r="B176" s="8"/>
      <c r="C176" s="75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7"/>
      <c r="P176" s="78"/>
      <c r="Q176" s="79"/>
      <c r="R176" s="8"/>
    </row>
    <row r="177" spans="2:18" hidden="1" outlineLevel="1">
      <c r="B177" s="8"/>
      <c r="C177" s="75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7"/>
      <c r="P177" s="78"/>
      <c r="Q177" s="79"/>
      <c r="R177" s="8"/>
    </row>
    <row r="178" spans="2:18" hidden="1" outlineLevel="1">
      <c r="B178" s="8"/>
      <c r="C178" s="75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7"/>
      <c r="P178" s="78"/>
      <c r="Q178" s="79"/>
      <c r="R178" s="8"/>
    </row>
    <row r="179" spans="2:18" hidden="1" outlineLevel="1">
      <c r="B179" s="8"/>
      <c r="C179" s="75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7"/>
      <c r="P179" s="78"/>
      <c r="Q179" s="79"/>
      <c r="R179" s="8"/>
    </row>
    <row r="180" spans="2:18" hidden="1" outlineLevel="1">
      <c r="B180" s="8"/>
      <c r="C180" s="75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7"/>
      <c r="P180" s="78"/>
      <c r="Q180" s="79"/>
      <c r="R180" s="8"/>
    </row>
    <row r="181" spans="2:18" hidden="1" outlineLevel="1">
      <c r="B181" s="8"/>
      <c r="C181" s="75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7"/>
      <c r="P181" s="78"/>
      <c r="Q181" s="79"/>
      <c r="R181" s="8"/>
    </row>
    <row r="182" spans="2:18" hidden="1" outlineLevel="1">
      <c r="B182" s="8"/>
      <c r="C182" s="75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7"/>
      <c r="P182" s="78"/>
      <c r="Q182" s="79"/>
      <c r="R182" s="8"/>
    </row>
    <row r="183" spans="2:18" hidden="1" outlineLevel="1">
      <c r="B183" s="8"/>
      <c r="C183" s="75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7"/>
      <c r="P183" s="78"/>
      <c r="Q183" s="79"/>
      <c r="R183" s="8"/>
    </row>
    <row r="184" spans="2:18" collapsed="1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ht="15.6" customHeight="1">
      <c r="B185" s="8"/>
      <c r="C185" s="81" t="s">
        <v>148</v>
      </c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3"/>
      <c r="P185" s="81" t="s">
        <v>144</v>
      </c>
      <c r="Q185" s="83"/>
      <c r="R185" s="8"/>
    </row>
    <row r="186" spans="2:18">
      <c r="B186" s="8"/>
      <c r="C186" s="84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6"/>
      <c r="P186" s="84"/>
      <c r="Q186" s="86"/>
      <c r="R186" s="8"/>
    </row>
    <row r="187" spans="2:18">
      <c r="B187" s="8"/>
      <c r="C187" s="75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7"/>
      <c r="P187" s="78"/>
      <c r="Q187" s="79"/>
      <c r="R187" s="8"/>
    </row>
    <row r="188" spans="2:18" hidden="1" outlineLevel="1">
      <c r="B188" s="8"/>
      <c r="C188" s="75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7"/>
      <c r="P188" s="78"/>
      <c r="Q188" s="79"/>
      <c r="R188" s="8"/>
    </row>
    <row r="189" spans="2:18" hidden="1" outlineLevel="1">
      <c r="B189" s="8"/>
      <c r="C189" s="75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7"/>
      <c r="P189" s="78"/>
      <c r="Q189" s="79"/>
      <c r="R189" s="8"/>
    </row>
    <row r="190" spans="2:18" hidden="1" outlineLevel="1">
      <c r="B190" s="8"/>
      <c r="C190" s="75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7"/>
      <c r="P190" s="78"/>
      <c r="Q190" s="79"/>
      <c r="R190" s="8"/>
    </row>
    <row r="191" spans="2:18" hidden="1" outlineLevel="1">
      <c r="B191" s="8"/>
      <c r="C191" s="75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7"/>
      <c r="P191" s="78"/>
      <c r="Q191" s="79"/>
      <c r="R191" s="8"/>
    </row>
    <row r="192" spans="2:18" hidden="1" outlineLevel="1">
      <c r="B192" s="8"/>
      <c r="C192" s="75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7"/>
      <c r="P192" s="78"/>
      <c r="Q192" s="79"/>
      <c r="R192" s="8"/>
    </row>
    <row r="193" spans="2:31" hidden="1" outlineLevel="1">
      <c r="B193" s="8"/>
      <c r="C193" s="75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7"/>
      <c r="P193" s="78"/>
      <c r="Q193" s="79"/>
      <c r="R193" s="8"/>
    </row>
    <row r="194" spans="2:31" hidden="1" outlineLevel="1">
      <c r="B194" s="8"/>
      <c r="C194" s="75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7"/>
      <c r="P194" s="78"/>
      <c r="Q194" s="79"/>
      <c r="R194" s="8"/>
    </row>
    <row r="195" spans="2:31" hidden="1" outlineLevel="1">
      <c r="B195" s="8"/>
      <c r="C195" s="75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7"/>
      <c r="P195" s="78"/>
      <c r="Q195" s="79"/>
      <c r="R195" s="8"/>
    </row>
    <row r="196" spans="2:31" hidden="1" outlineLevel="1">
      <c r="B196" s="8"/>
      <c r="C196" s="75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7"/>
      <c r="P196" s="78"/>
      <c r="Q196" s="79"/>
      <c r="R196" s="8"/>
    </row>
    <row r="197" spans="2:31" collapsed="1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2:31" ht="15.6" customHeight="1">
      <c r="B198" s="8"/>
      <c r="C198" s="63" t="s">
        <v>150</v>
      </c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73"/>
      <c r="Q198" s="73"/>
      <c r="R198" s="8"/>
      <c r="AD198" s="15" t="s">
        <v>155</v>
      </c>
    </row>
    <row r="199" spans="2:31" ht="6" customHeight="1">
      <c r="B199" s="8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2"/>
      <c r="Q199" s="32"/>
      <c r="R199" s="8"/>
      <c r="AD199" s="15" t="s">
        <v>156</v>
      </c>
    </row>
    <row r="200" spans="2:31" ht="36.6" customHeight="1">
      <c r="B200" s="8"/>
      <c r="C200" s="63" t="s">
        <v>151</v>
      </c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73"/>
      <c r="Q200" s="73"/>
      <c r="R200" s="8"/>
      <c r="AD200" s="15">
        <v>4400</v>
      </c>
      <c r="AE200" s="11">
        <v>4000</v>
      </c>
    </row>
    <row r="201" spans="2:31" ht="4.1500000000000004" customHeight="1">
      <c r="B201" s="8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2"/>
      <c r="Q201" s="32"/>
      <c r="R201" s="8"/>
    </row>
    <row r="202" spans="2:31" ht="34.9" customHeight="1">
      <c r="B202" s="8"/>
      <c r="C202" s="63" t="s">
        <v>152</v>
      </c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73"/>
      <c r="Q202" s="73"/>
      <c r="R202" s="8"/>
      <c r="AD202" s="15">
        <v>4100</v>
      </c>
      <c r="AE202" s="11">
        <v>3800</v>
      </c>
    </row>
    <row r="203" spans="2:31" ht="6.6" customHeight="1">
      <c r="B203" s="8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2"/>
      <c r="Q203" s="32"/>
      <c r="R203" s="8"/>
    </row>
    <row r="204" spans="2:31" ht="18.600000000000001" customHeight="1">
      <c r="B204" s="8"/>
      <c r="C204" s="63" t="s">
        <v>153</v>
      </c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73"/>
      <c r="Q204" s="73"/>
      <c r="R204" s="8"/>
      <c r="AD204" s="15">
        <v>5500</v>
      </c>
      <c r="AE204" s="11">
        <v>5500</v>
      </c>
    </row>
    <row r="205" spans="2:31" ht="6.6" customHeight="1">
      <c r="B205" s="8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2"/>
      <c r="Q205" s="32"/>
      <c r="R205" s="8"/>
    </row>
    <row r="206" spans="2:31" ht="19.899999999999999" customHeight="1">
      <c r="B206" s="8"/>
      <c r="C206" s="63" t="s">
        <v>154</v>
      </c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73"/>
      <c r="Q206" s="73"/>
      <c r="R206" s="8"/>
      <c r="AD206" s="15">
        <v>8400</v>
      </c>
      <c r="AE206" s="11">
        <v>10000</v>
      </c>
    </row>
    <row r="207" spans="2:31" ht="6" customHeight="1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2:31" ht="15.6" customHeight="1">
      <c r="B208" s="8"/>
      <c r="C208" s="81" t="s">
        <v>159</v>
      </c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3"/>
      <c r="P208" s="81" t="s">
        <v>144</v>
      </c>
      <c r="Q208" s="83"/>
      <c r="R208" s="8"/>
    </row>
    <row r="209" spans="2:18">
      <c r="B209" s="8"/>
      <c r="C209" s="84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6"/>
      <c r="P209" s="84"/>
      <c r="Q209" s="86"/>
      <c r="R209" s="8"/>
    </row>
    <row r="210" spans="2:18">
      <c r="B210" s="8"/>
      <c r="C210" s="75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7"/>
      <c r="P210" s="78"/>
      <c r="Q210" s="79"/>
      <c r="R210" s="8"/>
    </row>
    <row r="211" spans="2:18" hidden="1" outlineLevel="1">
      <c r="B211" s="8"/>
      <c r="C211" s="75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7"/>
      <c r="P211" s="78"/>
      <c r="Q211" s="79"/>
      <c r="R211" s="8"/>
    </row>
    <row r="212" spans="2:18" hidden="1" outlineLevel="1">
      <c r="B212" s="8"/>
      <c r="C212" s="75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7"/>
      <c r="P212" s="78"/>
      <c r="Q212" s="79"/>
      <c r="R212" s="8"/>
    </row>
    <row r="213" spans="2:18" hidden="1" outlineLevel="1">
      <c r="B213" s="8"/>
      <c r="C213" s="75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7"/>
      <c r="P213" s="78"/>
      <c r="Q213" s="79"/>
      <c r="R213" s="8"/>
    </row>
    <row r="214" spans="2:18" hidden="1" outlineLevel="1">
      <c r="B214" s="8"/>
      <c r="C214" s="75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7"/>
      <c r="P214" s="78"/>
      <c r="Q214" s="79"/>
      <c r="R214" s="8"/>
    </row>
    <row r="215" spans="2:18" hidden="1" outlineLevel="1">
      <c r="B215" s="8"/>
      <c r="C215" s="75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7"/>
      <c r="P215" s="78"/>
      <c r="Q215" s="79"/>
      <c r="R215" s="8"/>
    </row>
    <row r="216" spans="2:18" ht="15.6" hidden="1" customHeight="1" outlineLevel="1">
      <c r="B216" s="8"/>
      <c r="C216" s="75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7"/>
      <c r="P216" s="78"/>
      <c r="Q216" s="79"/>
      <c r="R216" s="8"/>
    </row>
    <row r="217" spans="2:18" hidden="1" outlineLevel="1">
      <c r="B217" s="8"/>
      <c r="C217" s="75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7"/>
      <c r="P217" s="78"/>
      <c r="Q217" s="79"/>
      <c r="R217" s="8"/>
    </row>
    <row r="218" spans="2:18" ht="15.6" hidden="1" customHeight="1" outlineLevel="1">
      <c r="B218" s="8"/>
      <c r="C218" s="75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7"/>
      <c r="P218" s="78"/>
      <c r="Q218" s="79"/>
      <c r="R218" s="8"/>
    </row>
    <row r="219" spans="2:18" hidden="1" outlineLevel="1">
      <c r="B219" s="8"/>
      <c r="C219" s="75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7"/>
      <c r="P219" s="78"/>
      <c r="Q219" s="79"/>
      <c r="R219" s="8"/>
    </row>
    <row r="220" spans="2:18" ht="16.5" collapsed="1" thickBot="1">
      <c r="B220" s="8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7"/>
      <c r="Q220" s="7"/>
      <c r="R220" s="8"/>
    </row>
    <row r="221" spans="2:18">
      <c r="B221" s="8"/>
      <c r="C221" s="115" t="s">
        <v>161</v>
      </c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7"/>
      <c r="Q221" s="118"/>
      <c r="R221" s="8"/>
    </row>
    <row r="222" spans="2:18" ht="6.6" customHeight="1">
      <c r="B222" s="8"/>
      <c r="C222" s="33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2"/>
      <c r="Q222" s="34"/>
      <c r="R222" s="8"/>
    </row>
    <row r="223" spans="2:18" ht="16.5" thickBot="1">
      <c r="B223" s="8"/>
      <c r="C223" s="107" t="s">
        <v>162</v>
      </c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13"/>
      <c r="Q223" s="114"/>
      <c r="R223" s="8"/>
    </row>
    <row r="224" spans="2:18" ht="16.5" thickBot="1">
      <c r="B224" s="8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2"/>
      <c r="Q224" s="32"/>
      <c r="R224" s="8"/>
    </row>
    <row r="225" spans="2:25">
      <c r="B225" s="8"/>
      <c r="C225" s="115" t="s">
        <v>163</v>
      </c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7"/>
      <c r="Q225" s="118"/>
      <c r="R225" s="8"/>
    </row>
    <row r="226" spans="2:25" ht="6" customHeight="1">
      <c r="B226" s="8"/>
      <c r="C226" s="33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2"/>
      <c r="Q226" s="34"/>
      <c r="R226" s="8"/>
    </row>
    <row r="227" spans="2:25" ht="16.5" thickBot="1">
      <c r="B227" s="8"/>
      <c r="C227" s="107" t="s">
        <v>164</v>
      </c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9"/>
      <c r="Q227" s="110"/>
      <c r="R227" s="8"/>
    </row>
    <row r="228" spans="2:25" ht="7.15" customHeight="1">
      <c r="B228" s="8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7"/>
      <c r="Q228" s="7"/>
      <c r="R228" s="8"/>
    </row>
    <row r="229" spans="2:25" ht="15.6" customHeight="1">
      <c r="B229" s="8"/>
      <c r="C229" s="63" t="s">
        <v>212</v>
      </c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73"/>
      <c r="Q229" s="73"/>
      <c r="R229" s="8"/>
    </row>
    <row r="230" spans="2:25" ht="4.9000000000000004" customHeight="1">
      <c r="B230" s="8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7"/>
      <c r="Q230" s="7"/>
      <c r="R230" s="8"/>
    </row>
    <row r="231" spans="2:25" ht="20.45" customHeight="1">
      <c r="B231" s="8"/>
      <c r="C231" s="63" t="s">
        <v>213</v>
      </c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73"/>
      <c r="Q231" s="73"/>
      <c r="R231" s="8"/>
    </row>
    <row r="232" spans="2:25" ht="6" customHeight="1">
      <c r="B232" s="8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7"/>
      <c r="Q232" s="7"/>
      <c r="R232" s="8"/>
    </row>
    <row r="233" spans="2:25" ht="15.6" customHeight="1">
      <c r="B233" s="8"/>
      <c r="C233" s="63" t="s">
        <v>214</v>
      </c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73"/>
      <c r="Q233" s="73"/>
      <c r="R233" s="8"/>
    </row>
    <row r="234" spans="2:25" ht="3.6" customHeight="1">
      <c r="B234" s="8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7"/>
      <c r="Q234" s="7"/>
      <c r="R234" s="8"/>
    </row>
    <row r="235" spans="2:25">
      <c r="B235" s="8"/>
      <c r="C235" s="106" t="s">
        <v>2</v>
      </c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8"/>
    </row>
    <row r="236" spans="2:25" ht="6" customHeight="1">
      <c r="B236" s="8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7"/>
      <c r="Q236" s="7"/>
      <c r="R236" s="8"/>
    </row>
    <row r="237" spans="2:25" ht="15.6" customHeight="1">
      <c r="B237" s="8"/>
      <c r="C237" s="63" t="s">
        <v>3</v>
      </c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7">
        <f>W237</f>
        <v>0</v>
      </c>
      <c r="Q237" s="67"/>
      <c r="R237" s="8"/>
      <c r="S237" s="17">
        <f>IF(AD16&gt;0,1,0)</f>
        <v>0</v>
      </c>
      <c r="T237" s="18">
        <f t="shared" ref="T237" si="0">INT(S237)</f>
        <v>0</v>
      </c>
      <c r="U237" s="19">
        <f t="shared" ref="U237" si="1">S237-T237</f>
        <v>0</v>
      </c>
      <c r="V237" s="9">
        <f t="shared" ref="V237:V300" si="2">IF(AND(U237&gt;0,U237&lt;=0.13),0,IF(AND(U237&gt;0.13,U237&lt;=0.37),0.25,IF(AND(U237&gt;0.37,U237&lt;=0.62),0.5,IF(AND(U237&gt;0.62,U237&lt;=0.87),0.75,IF(U237&gt;0.87,1,0)))))</f>
        <v>0</v>
      </c>
      <c r="W237" s="19">
        <f t="shared" ref="W237" si="3">T237+V237</f>
        <v>0</v>
      </c>
      <c r="X237" s="20"/>
      <c r="Y237" s="20"/>
    </row>
    <row r="238" spans="2:25" ht="4.1500000000000004" customHeight="1">
      <c r="B238" s="8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35"/>
      <c r="Q238" s="35"/>
      <c r="R238" s="8"/>
      <c r="S238" s="16"/>
      <c r="T238" s="18">
        <f t="shared" ref="T238:T301" si="4">INT(S238)</f>
        <v>0</v>
      </c>
      <c r="U238" s="19">
        <f t="shared" ref="U238:U301" si="5">S238-T238</f>
        <v>0</v>
      </c>
      <c r="V238" s="9">
        <f t="shared" si="2"/>
        <v>0</v>
      </c>
      <c r="W238" s="19">
        <f t="shared" ref="W238:W301" si="6">T238+V238</f>
        <v>0</v>
      </c>
      <c r="X238" s="16"/>
      <c r="Y238" s="16"/>
    </row>
    <row r="239" spans="2:25" ht="31.15" customHeight="1">
      <c r="B239" s="8"/>
      <c r="C239" s="63" t="s">
        <v>4</v>
      </c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7">
        <f>W239</f>
        <v>0</v>
      </c>
      <c r="Q239" s="67"/>
      <c r="R239" s="8"/>
      <c r="S239" s="17">
        <f>IF(AND(AD16&gt;0,AD16=400),2,IF(AD16&gt;400,3,0))</f>
        <v>0</v>
      </c>
      <c r="T239" s="18">
        <f t="shared" si="4"/>
        <v>0</v>
      </c>
      <c r="U239" s="19">
        <f t="shared" si="5"/>
        <v>0</v>
      </c>
      <c r="V239" s="9">
        <f t="shared" si="2"/>
        <v>0</v>
      </c>
      <c r="W239" s="19">
        <f t="shared" si="6"/>
        <v>0</v>
      </c>
      <c r="X239" s="20"/>
      <c r="Y239" s="20"/>
    </row>
    <row r="240" spans="2:25" ht="6" customHeight="1">
      <c r="B240" s="8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35"/>
      <c r="Q240" s="35"/>
      <c r="R240" s="8"/>
      <c r="S240" s="16"/>
      <c r="T240" s="18">
        <f t="shared" si="4"/>
        <v>0</v>
      </c>
      <c r="U240" s="19">
        <f t="shared" si="5"/>
        <v>0</v>
      </c>
      <c r="V240" s="9">
        <f t="shared" si="2"/>
        <v>0</v>
      </c>
      <c r="W240" s="19">
        <f t="shared" si="6"/>
        <v>0</v>
      </c>
      <c r="X240" s="16"/>
      <c r="Y240" s="16"/>
    </row>
    <row r="241" spans="2:25" ht="15.6" customHeight="1">
      <c r="B241" s="8"/>
      <c r="C241" s="63" t="s">
        <v>5</v>
      </c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7">
        <f>W241</f>
        <v>0</v>
      </c>
      <c r="Q241" s="67"/>
      <c r="R241" s="8"/>
      <c r="S241" s="17">
        <f>IF(AD16&gt;=501,1,0)</f>
        <v>0</v>
      </c>
      <c r="T241" s="18">
        <f t="shared" si="4"/>
        <v>0</v>
      </c>
      <c r="U241" s="19">
        <f t="shared" si="5"/>
        <v>0</v>
      </c>
      <c r="V241" s="9">
        <f t="shared" si="2"/>
        <v>0</v>
      </c>
      <c r="W241" s="19">
        <f t="shared" si="6"/>
        <v>0</v>
      </c>
      <c r="X241" s="20"/>
      <c r="Y241" s="20"/>
    </row>
    <row r="242" spans="2:25" ht="7.15" customHeight="1">
      <c r="B242" s="8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35"/>
      <c r="Q242" s="35"/>
      <c r="R242" s="8"/>
      <c r="S242" s="16"/>
      <c r="T242" s="18">
        <f t="shared" si="4"/>
        <v>0</v>
      </c>
      <c r="U242" s="19">
        <f t="shared" si="5"/>
        <v>0</v>
      </c>
      <c r="V242" s="9">
        <f t="shared" si="2"/>
        <v>0</v>
      </c>
      <c r="W242" s="19">
        <f t="shared" si="6"/>
        <v>0</v>
      </c>
      <c r="X242" s="16"/>
      <c r="Y242" s="16"/>
    </row>
    <row r="243" spans="2:25" ht="15.6" customHeight="1">
      <c r="B243" s="8"/>
      <c r="C243" s="63" t="s">
        <v>6</v>
      </c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7">
        <f>W243</f>
        <v>0</v>
      </c>
      <c r="Q243" s="67"/>
      <c r="R243" s="8"/>
      <c r="S243" s="17">
        <f>IF(AND(AD16&gt;0,AD16&lt;=500),1,0)</f>
        <v>0</v>
      </c>
      <c r="T243" s="18">
        <f t="shared" si="4"/>
        <v>0</v>
      </c>
      <c r="U243" s="19">
        <f t="shared" si="5"/>
        <v>0</v>
      </c>
      <c r="V243" s="9">
        <f t="shared" si="2"/>
        <v>0</v>
      </c>
      <c r="W243" s="19">
        <f t="shared" si="6"/>
        <v>0</v>
      </c>
      <c r="X243" s="20"/>
      <c r="Y243" s="20"/>
    </row>
    <row r="244" spans="2:25" ht="6.6" customHeight="1">
      <c r="B244" s="8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35"/>
      <c r="Q244" s="35"/>
      <c r="R244" s="8"/>
      <c r="S244" s="16"/>
      <c r="T244" s="18">
        <f t="shared" si="4"/>
        <v>0</v>
      </c>
      <c r="U244" s="19">
        <f t="shared" si="5"/>
        <v>0</v>
      </c>
      <c r="V244" s="9">
        <f t="shared" si="2"/>
        <v>0</v>
      </c>
      <c r="W244" s="19">
        <f t="shared" si="6"/>
        <v>0</v>
      </c>
      <c r="X244" s="16"/>
      <c r="Y244" s="16"/>
    </row>
    <row r="245" spans="2:25" ht="15.6" customHeight="1">
      <c r="B245" s="8"/>
      <c r="C245" s="63" t="s">
        <v>7</v>
      </c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7">
        <f>W245</f>
        <v>0</v>
      </c>
      <c r="Q245" s="67"/>
      <c r="R245" s="8"/>
      <c r="S245" s="17">
        <f>IF(AD16&gt;401,1,0)</f>
        <v>0</v>
      </c>
      <c r="T245" s="18">
        <f t="shared" si="4"/>
        <v>0</v>
      </c>
      <c r="U245" s="19">
        <f t="shared" si="5"/>
        <v>0</v>
      </c>
      <c r="V245" s="9">
        <f t="shared" si="2"/>
        <v>0</v>
      </c>
      <c r="W245" s="19">
        <f t="shared" si="6"/>
        <v>0</v>
      </c>
      <c r="X245" s="20"/>
      <c r="Y245" s="20"/>
    </row>
    <row r="246" spans="2:25" ht="6" customHeight="1">
      <c r="B246" s="8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35"/>
      <c r="Q246" s="35"/>
      <c r="R246" s="8"/>
      <c r="S246" s="16"/>
      <c r="T246" s="18">
        <f t="shared" si="4"/>
        <v>0</v>
      </c>
      <c r="U246" s="19">
        <f t="shared" si="5"/>
        <v>0</v>
      </c>
      <c r="V246" s="9">
        <f t="shared" si="2"/>
        <v>0</v>
      </c>
      <c r="W246" s="19">
        <f t="shared" si="6"/>
        <v>0</v>
      </c>
      <c r="X246" s="16"/>
      <c r="Y246" s="16"/>
    </row>
    <row r="247" spans="2:25" ht="15.6" customHeight="1">
      <c r="B247" s="8"/>
      <c r="C247" s="63" t="s">
        <v>8</v>
      </c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7">
        <f>W247</f>
        <v>0</v>
      </c>
      <c r="Q247" s="67"/>
      <c r="R247" s="8"/>
      <c r="S247" s="21">
        <f>IF(AND(AD16&gt;0,AD16&lt;=400),1,0)</f>
        <v>0</v>
      </c>
      <c r="T247" s="18">
        <f t="shared" si="4"/>
        <v>0</v>
      </c>
      <c r="U247" s="19">
        <f t="shared" si="5"/>
        <v>0</v>
      </c>
      <c r="V247" s="9">
        <f t="shared" si="2"/>
        <v>0</v>
      </c>
      <c r="W247" s="19">
        <f t="shared" si="6"/>
        <v>0</v>
      </c>
      <c r="X247" s="22"/>
      <c r="Y247" s="22"/>
    </row>
    <row r="248" spans="2:25" ht="6" customHeight="1">
      <c r="B248" s="8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35"/>
      <c r="Q248" s="35"/>
      <c r="R248" s="8"/>
      <c r="S248" s="21"/>
      <c r="T248" s="18">
        <f t="shared" si="4"/>
        <v>0</v>
      </c>
      <c r="U248" s="19">
        <f t="shared" si="5"/>
        <v>0</v>
      </c>
      <c r="V248" s="9">
        <f t="shared" si="2"/>
        <v>0</v>
      </c>
      <c r="W248" s="19">
        <f t="shared" si="6"/>
        <v>0</v>
      </c>
      <c r="X248" s="22"/>
      <c r="Y248" s="22"/>
    </row>
    <row r="249" spans="2:25" ht="15.6" customHeight="1">
      <c r="B249" s="8"/>
      <c r="C249" s="63" t="s">
        <v>10</v>
      </c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7">
        <f>W249</f>
        <v>0</v>
      </c>
      <c r="Q249" s="67"/>
      <c r="R249" s="8"/>
      <c r="S249" s="21">
        <f>IF(AD16&gt;0,P17,0)</f>
        <v>0</v>
      </c>
      <c r="T249" s="18">
        <f t="shared" si="4"/>
        <v>0</v>
      </c>
      <c r="U249" s="19">
        <f t="shared" si="5"/>
        <v>0</v>
      </c>
      <c r="V249" s="9">
        <f t="shared" si="2"/>
        <v>0</v>
      </c>
      <c r="W249" s="19">
        <f t="shared" si="6"/>
        <v>0</v>
      </c>
      <c r="X249" s="22"/>
      <c r="Y249" s="22"/>
    </row>
    <row r="250" spans="2:25" ht="6" customHeight="1">
      <c r="B250" s="8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35"/>
      <c r="Q250" s="35"/>
      <c r="R250" s="8"/>
      <c r="S250" s="21"/>
      <c r="T250" s="18">
        <f t="shared" si="4"/>
        <v>0</v>
      </c>
      <c r="U250" s="19">
        <f t="shared" si="5"/>
        <v>0</v>
      </c>
      <c r="V250" s="9">
        <f t="shared" si="2"/>
        <v>0</v>
      </c>
      <c r="W250" s="19">
        <f t="shared" si="6"/>
        <v>0</v>
      </c>
      <c r="X250" s="22"/>
      <c r="Y250" s="22"/>
    </row>
    <row r="251" spans="2:25" ht="15.6" customHeight="1">
      <c r="B251" s="8"/>
      <c r="C251" s="63" t="s">
        <v>11</v>
      </c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7">
        <f>W251</f>
        <v>0</v>
      </c>
      <c r="Q251" s="67"/>
      <c r="R251" s="8"/>
      <c r="S251" s="21">
        <f>IF(AND(AD16&gt;0,C21&gt;0,G21&gt;=150),G21/150,0)+
IF(AND(AD16&gt;0,C22&gt;0,G22&gt;=150),G22/150,0)+
IF(AND(AD16&gt;0,C23&gt;0,G23&gt;=150),G23/150,0)+
IF(AND(AD16&gt;0,C24&gt;0,G24&gt;=150),G24/150,0)+
IF(AND(AD16&gt;0,C25&gt;0,G25&gt;=150),G25/150,0)+
IF(AND(AD16&gt;0,C26&gt;0,G26&gt;=150),G26/150,0)+
IF(AND(AD16&gt;0,C27&gt;0,G27&gt;=150),G27/150,0)+
IF(AND(AD16&gt;0,C28&gt;0,G28&gt;=150),G28/150,0)+
IF(AND(AD16&gt;0,C29&gt;0,G29&gt;=150),G29/150,0)+
IF(AND(AD16&gt;0,C30&gt;0,G30&gt;=150),G30/150,0)+
IF(AND(AD16&gt;0,C21&gt;0,I21&gt;=150),I21/150,0)+
IF(AND(AD16&gt;0,C22&gt;0,I22&gt;=150),I22/150,0)+
IF(AND(AD16&gt;0,C23&gt;0,I23&gt;=150),I23/150,0)+
IF(AND(AD16&gt;0,C24&gt;0,I24&gt;=150),I24/150,0)+
IF(AND(AD16&gt;0,C25&gt;0,I25&gt;=150),I25/150,0)+
IF(AND(AD16&gt;0,C26&gt;0,I26&gt;=150),I26/150,0)+
IF(AND(AD16&gt;0,C27&gt;0,I27&gt;=150),I27/150,0)+
IF(AND(AD16&gt;0,C28&gt;0,G29&gt;=150),I28/150,0)+
IF(AND(AD16&gt;0,C29&gt;0,I29&gt;=150),I29/150,0)+
IF(AND(AD16&gt;0,C30&gt;0,I30&gt;=150),I30/150,0)</f>
        <v>0</v>
      </c>
      <c r="T251" s="18">
        <f t="shared" si="4"/>
        <v>0</v>
      </c>
      <c r="U251" s="19">
        <f t="shared" si="5"/>
        <v>0</v>
      </c>
      <c r="V251" s="9">
        <f t="shared" si="2"/>
        <v>0</v>
      </c>
      <c r="W251" s="19">
        <f t="shared" si="6"/>
        <v>0</v>
      </c>
      <c r="X251" s="22"/>
      <c r="Y251" s="22"/>
    </row>
    <row r="252" spans="2:25" ht="6" customHeight="1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35"/>
      <c r="Q252" s="35"/>
      <c r="R252" s="8"/>
      <c r="T252" s="18">
        <f t="shared" si="4"/>
        <v>0</v>
      </c>
      <c r="U252" s="19">
        <f t="shared" si="5"/>
        <v>0</v>
      </c>
      <c r="V252" s="9">
        <f t="shared" si="2"/>
        <v>0</v>
      </c>
      <c r="W252" s="19">
        <f t="shared" si="6"/>
        <v>0</v>
      </c>
    </row>
    <row r="253" spans="2:25" ht="31.15" customHeight="1">
      <c r="B253" s="8"/>
      <c r="C253" s="63" t="s">
        <v>16</v>
      </c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7">
        <f>W253</f>
        <v>0</v>
      </c>
      <c r="Q253" s="67"/>
      <c r="R253" s="8"/>
      <c r="S253" s="21">
        <f>IF(AND(AD16&gt;0,P32&gt;0),P32/150,0)+IF(AND(AD16&gt;0,P34&gt;0),P34/150,0)</f>
        <v>0</v>
      </c>
      <c r="T253" s="18">
        <f t="shared" si="4"/>
        <v>0</v>
      </c>
      <c r="U253" s="19">
        <f t="shared" si="5"/>
        <v>0</v>
      </c>
      <c r="V253" s="9">
        <f t="shared" si="2"/>
        <v>0</v>
      </c>
      <c r="W253" s="19">
        <f t="shared" si="6"/>
        <v>0</v>
      </c>
      <c r="X253" s="22"/>
      <c r="Y253" s="22"/>
    </row>
    <row r="254" spans="2:25" ht="4.9000000000000004" customHeight="1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35"/>
      <c r="Q254" s="35"/>
      <c r="R254" s="8"/>
      <c r="T254" s="18">
        <f t="shared" si="4"/>
        <v>0</v>
      </c>
      <c r="U254" s="19">
        <f t="shared" si="5"/>
        <v>0</v>
      </c>
      <c r="V254" s="9">
        <f t="shared" si="2"/>
        <v>0</v>
      </c>
      <c r="W254" s="19">
        <f t="shared" si="6"/>
        <v>0</v>
      </c>
    </row>
    <row r="255" spans="2:25" ht="15.6" customHeight="1">
      <c r="B255" s="8"/>
      <c r="C255" s="63" t="s">
        <v>19</v>
      </c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7">
        <f>W255</f>
        <v>0</v>
      </c>
      <c r="Q255" s="67"/>
      <c r="R255" s="8"/>
      <c r="S255" s="21">
        <f>IF(AND(AD16&gt;0,C21&gt;0,M21&gt;=50,P36=""),1,0)+
IF(AND(AD16&gt;0,C22&gt;0,M22&gt;=50,P36=""),1,0)+
IF(AND(AD16&gt;0,C23&gt;0,M23&gt;=50,P36=""),1,0)+
IF(AND(AD16&gt;0,C24&gt;0,M24&gt;=50,P36=""),1,0)+
IF(AND(AD16&gt;0,C25&gt;0,M25&gt;=50,P36=""),1,0)+
IF(AND(AD16&gt;0,C26&gt;0,M26&gt;=50,P36=""),1,0)+
IF(AND(AD16&gt;0,C27&gt;0,M27&gt;=50,P36=""),1,0)+
IF(AND(AD16&gt;0,C28&gt;0,M28&gt;=50,P36=""),1,0)+
IF(AND(AD16&gt;0,C29&gt;0,M29&gt;=50,P36=""),1,0)+
IF(AND(AD16&gt;0,C30&gt;0,M30&gt;=50,P36=""),1,0)+
IF(AND(AD16&gt;0,C21&gt;0,O21&gt;=50,P36=""),1,0)+
IF(AND(AD16&gt;0,C22&gt;0,O22&gt;=50,P36=""),1,0)+
IF(AND(AD16&gt;0,C23&gt;0,O23&gt;=50,P36=""),1,0)+
IF(AND(AD16&gt;0,C24&gt;0,O24&gt;=50,P36=""),1,0)+
IF(AND(AD16&gt;0,C25&gt;0,O25&gt;=50,P36=""),1,0)+
IF(AND(AD16&gt;0,C26&gt;0,O26&gt;=50,P36=""),1,0)+
IF(AND(AD16&gt;0,C27&gt;0,O27&gt;=50,P36=""),1,0)+
IF(AND(AD16&gt;0,C28&gt;0,O28&gt;=50,P36=""),1,0)+
IF(AND(AD16&gt;0,C29&gt;0,O29&gt;=50,P36=""),1,0)+
IF(AND(AD16&gt;0,C30&gt;0,O30&gt;=50,P36=""),1,0)</f>
        <v>0</v>
      </c>
      <c r="T255" s="18">
        <f t="shared" si="4"/>
        <v>0</v>
      </c>
      <c r="U255" s="19">
        <f t="shared" si="5"/>
        <v>0</v>
      </c>
      <c r="V255" s="9">
        <f t="shared" si="2"/>
        <v>0</v>
      </c>
      <c r="W255" s="19">
        <f t="shared" si="6"/>
        <v>0</v>
      </c>
      <c r="X255" s="22"/>
      <c r="Y255" s="22"/>
    </row>
    <row r="256" spans="2:25" ht="5.45" customHeight="1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35"/>
      <c r="Q256" s="35"/>
      <c r="R256" s="8"/>
      <c r="T256" s="18">
        <f t="shared" si="4"/>
        <v>0</v>
      </c>
      <c r="U256" s="19">
        <f t="shared" si="5"/>
        <v>0</v>
      </c>
      <c r="V256" s="9">
        <f t="shared" si="2"/>
        <v>0</v>
      </c>
      <c r="W256" s="19">
        <f t="shared" si="6"/>
        <v>0</v>
      </c>
    </row>
    <row r="257" spans="2:25" ht="33.6" customHeight="1">
      <c r="B257" s="8"/>
      <c r="C257" s="63" t="s">
        <v>24</v>
      </c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7">
        <f>W257</f>
        <v>0</v>
      </c>
      <c r="Q257" s="67"/>
      <c r="R257" s="8"/>
      <c r="S257" s="21">
        <f>IF(AND(AD16&gt;0,P36="*",SUM(M21:Q30)&gt;=60),1,0)</f>
        <v>0</v>
      </c>
      <c r="T257" s="18">
        <f t="shared" si="4"/>
        <v>0</v>
      </c>
      <c r="U257" s="19">
        <f t="shared" si="5"/>
        <v>0</v>
      </c>
      <c r="V257" s="9">
        <f t="shared" si="2"/>
        <v>0</v>
      </c>
      <c r="W257" s="19">
        <f t="shared" si="6"/>
        <v>0</v>
      </c>
      <c r="X257" s="22"/>
      <c r="Y257" s="22"/>
    </row>
    <row r="258" spans="2:25" ht="4.1500000000000004" customHeight="1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35"/>
      <c r="Q258" s="35"/>
      <c r="R258" s="8"/>
      <c r="T258" s="18">
        <f t="shared" si="4"/>
        <v>0</v>
      </c>
      <c r="U258" s="19">
        <f t="shared" si="5"/>
        <v>0</v>
      </c>
      <c r="V258" s="9">
        <f t="shared" si="2"/>
        <v>0</v>
      </c>
      <c r="W258" s="19">
        <f t="shared" si="6"/>
        <v>0</v>
      </c>
    </row>
    <row r="259" spans="2:25" ht="15.6" customHeight="1">
      <c r="B259" s="8"/>
      <c r="C259" s="63" t="s">
        <v>26</v>
      </c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7">
        <f>W259</f>
        <v>0</v>
      </c>
      <c r="Q259" s="67"/>
      <c r="R259" s="8"/>
      <c r="S259" s="21">
        <f>IF(AND(AD16&gt;0,P36="*"),1,0)</f>
        <v>0</v>
      </c>
      <c r="T259" s="18">
        <f t="shared" si="4"/>
        <v>0</v>
      </c>
      <c r="U259" s="19">
        <f t="shared" si="5"/>
        <v>0</v>
      </c>
      <c r="V259" s="9">
        <f t="shared" si="2"/>
        <v>0</v>
      </c>
      <c r="W259" s="19">
        <f t="shared" si="6"/>
        <v>0</v>
      </c>
      <c r="X259" s="22"/>
      <c r="Y259" s="22"/>
    </row>
    <row r="260" spans="2:25" ht="4.9000000000000004" customHeight="1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35"/>
      <c r="Q260" s="35"/>
      <c r="R260" s="8"/>
      <c r="T260" s="18">
        <f t="shared" si="4"/>
        <v>0</v>
      </c>
      <c r="U260" s="19">
        <f t="shared" si="5"/>
        <v>0</v>
      </c>
      <c r="V260" s="9">
        <f t="shared" si="2"/>
        <v>0</v>
      </c>
      <c r="W260" s="19">
        <f t="shared" si="6"/>
        <v>0</v>
      </c>
    </row>
    <row r="261" spans="2:25" ht="15.6" customHeight="1">
      <c r="B261" s="8"/>
      <c r="C261" s="63" t="s">
        <v>28</v>
      </c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7">
        <f>W261</f>
        <v>0</v>
      </c>
      <c r="Q261" s="67"/>
      <c r="R261" s="8"/>
      <c r="S261" s="21">
        <f>IF(AD16&gt;0,P40,0)</f>
        <v>0</v>
      </c>
      <c r="T261" s="18">
        <f t="shared" si="4"/>
        <v>0</v>
      </c>
      <c r="U261" s="19">
        <f t="shared" si="5"/>
        <v>0</v>
      </c>
      <c r="V261" s="9">
        <f t="shared" si="2"/>
        <v>0</v>
      </c>
      <c r="W261" s="19">
        <f t="shared" si="6"/>
        <v>0</v>
      </c>
      <c r="X261" s="22"/>
      <c r="Y261" s="22"/>
    </row>
    <row r="262" spans="2:25" ht="5.45" customHeight="1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35"/>
      <c r="Q262" s="35"/>
      <c r="R262" s="8"/>
      <c r="T262" s="18">
        <f t="shared" si="4"/>
        <v>0</v>
      </c>
      <c r="U262" s="19">
        <f t="shared" si="5"/>
        <v>0</v>
      </c>
      <c r="V262" s="9">
        <f t="shared" si="2"/>
        <v>0</v>
      </c>
      <c r="W262" s="19">
        <f t="shared" si="6"/>
        <v>0</v>
      </c>
    </row>
    <row r="263" spans="2:25" ht="15.6" customHeight="1">
      <c r="B263" s="8"/>
      <c r="C263" s="63" t="s">
        <v>30</v>
      </c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7">
        <f>W263</f>
        <v>0</v>
      </c>
      <c r="Q263" s="67"/>
      <c r="R263" s="8"/>
      <c r="S263" s="21">
        <f>IF(AND(AD16&gt;0,P42="*"),1,0)</f>
        <v>0</v>
      </c>
      <c r="T263" s="18">
        <f t="shared" si="4"/>
        <v>0</v>
      </c>
      <c r="U263" s="19">
        <f t="shared" si="5"/>
        <v>0</v>
      </c>
      <c r="V263" s="9">
        <f t="shared" si="2"/>
        <v>0</v>
      </c>
      <c r="W263" s="19">
        <f t="shared" si="6"/>
        <v>0</v>
      </c>
      <c r="X263" s="22"/>
      <c r="Y263" s="22"/>
    </row>
    <row r="264" spans="2:25" ht="6.6" customHeight="1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35"/>
      <c r="Q264" s="35"/>
      <c r="R264" s="8"/>
      <c r="T264" s="18">
        <f t="shared" si="4"/>
        <v>0</v>
      </c>
      <c r="U264" s="19">
        <f t="shared" si="5"/>
        <v>0</v>
      </c>
      <c r="V264" s="9">
        <f t="shared" si="2"/>
        <v>0</v>
      </c>
      <c r="W264" s="19">
        <f t="shared" si="6"/>
        <v>0</v>
      </c>
    </row>
    <row r="265" spans="2:25" ht="15.6" customHeight="1">
      <c r="B265" s="8"/>
      <c r="C265" s="63" t="s">
        <v>32</v>
      </c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7">
        <f>W265</f>
        <v>0</v>
      </c>
      <c r="Q265" s="67"/>
      <c r="R265" s="8"/>
      <c r="S265" s="21">
        <f>IF(AND(AD16&gt;0,P44="*"),1,0)</f>
        <v>0</v>
      </c>
      <c r="T265" s="18">
        <f t="shared" si="4"/>
        <v>0</v>
      </c>
      <c r="U265" s="19">
        <f t="shared" si="5"/>
        <v>0</v>
      </c>
      <c r="V265" s="9">
        <f t="shared" si="2"/>
        <v>0</v>
      </c>
      <c r="W265" s="19">
        <f t="shared" si="6"/>
        <v>0</v>
      </c>
      <c r="X265" s="22"/>
      <c r="Y265" s="22"/>
    </row>
    <row r="266" spans="2:25" ht="6.6" customHeight="1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35"/>
      <c r="Q266" s="35"/>
      <c r="R266" s="8"/>
      <c r="T266" s="18">
        <f t="shared" si="4"/>
        <v>0</v>
      </c>
      <c r="U266" s="19">
        <f t="shared" si="5"/>
        <v>0</v>
      </c>
      <c r="V266" s="9">
        <f t="shared" si="2"/>
        <v>0</v>
      </c>
      <c r="W266" s="19">
        <f t="shared" si="6"/>
        <v>0</v>
      </c>
    </row>
    <row r="267" spans="2:25" ht="15.6" customHeight="1">
      <c r="B267" s="8"/>
      <c r="C267" s="63" t="s">
        <v>33</v>
      </c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7">
        <f>W267</f>
        <v>0</v>
      </c>
      <c r="Q267" s="67"/>
      <c r="R267" s="8"/>
      <c r="S267" s="21">
        <f>IF(AD16&gt;0,1,0)</f>
        <v>0</v>
      </c>
      <c r="T267" s="18">
        <f t="shared" si="4"/>
        <v>0</v>
      </c>
      <c r="U267" s="19">
        <f t="shared" si="5"/>
        <v>0</v>
      </c>
      <c r="V267" s="9">
        <f t="shared" si="2"/>
        <v>0</v>
      </c>
      <c r="W267" s="19">
        <f t="shared" si="6"/>
        <v>0</v>
      </c>
      <c r="X267" s="22"/>
      <c r="Y267" s="22"/>
    </row>
    <row r="268" spans="2:25" ht="5.45" customHeight="1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35"/>
      <c r="Q268" s="35"/>
      <c r="R268" s="8"/>
      <c r="T268" s="18">
        <f t="shared" si="4"/>
        <v>0</v>
      </c>
      <c r="U268" s="19">
        <f t="shared" si="5"/>
        <v>0</v>
      </c>
      <c r="V268" s="9">
        <f t="shared" si="2"/>
        <v>0</v>
      </c>
      <c r="W268" s="19">
        <f t="shared" si="6"/>
        <v>0</v>
      </c>
    </row>
    <row r="269" spans="2:25" ht="15.6" customHeight="1">
      <c r="B269" s="8"/>
      <c r="C269" s="63" t="s">
        <v>36</v>
      </c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7">
        <f>W269</f>
        <v>0</v>
      </c>
      <c r="Q269" s="67"/>
      <c r="R269" s="8"/>
      <c r="S269" s="21">
        <f>IF(AND(AD16&gt;0,AD16&gt;=401),1,0)</f>
        <v>0</v>
      </c>
      <c r="T269" s="18">
        <f t="shared" si="4"/>
        <v>0</v>
      </c>
      <c r="U269" s="19">
        <f t="shared" si="5"/>
        <v>0</v>
      </c>
      <c r="V269" s="9">
        <f t="shared" si="2"/>
        <v>0</v>
      </c>
      <c r="W269" s="19">
        <f t="shared" si="6"/>
        <v>0</v>
      </c>
      <c r="X269" s="22"/>
      <c r="Y269" s="22"/>
    </row>
    <row r="270" spans="2:25" ht="6" customHeight="1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35"/>
      <c r="Q270" s="35"/>
      <c r="R270" s="8"/>
      <c r="T270" s="18">
        <f t="shared" si="4"/>
        <v>0</v>
      </c>
      <c r="U270" s="19">
        <f t="shared" si="5"/>
        <v>0</v>
      </c>
      <c r="V270" s="9">
        <f t="shared" si="2"/>
        <v>0</v>
      </c>
      <c r="W270" s="19">
        <f t="shared" si="6"/>
        <v>0</v>
      </c>
    </row>
    <row r="271" spans="2:25" ht="15.6" customHeight="1">
      <c r="B271" s="8"/>
      <c r="C271" s="63" t="s">
        <v>37</v>
      </c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7">
        <f>W271</f>
        <v>0</v>
      </c>
      <c r="Q271" s="67"/>
      <c r="R271" s="8"/>
      <c r="S271" s="21">
        <f>IF(AND(AD16&gt;0,AD16&gt;0,AD16&lt;=600),1,IF(AND(AD16&gt;=601,AD16&lt;=800),1.5,IF(AND(AD16&gt;0,AD16&gt;=801),2,0)))+IF(AND(AD16&gt;0,P46="*"),1,0)+IF(AND(AD16&gt;0,P42="*"),1,0)</f>
        <v>0</v>
      </c>
      <c r="T271" s="18">
        <f t="shared" si="4"/>
        <v>0</v>
      </c>
      <c r="U271" s="19">
        <f t="shared" si="5"/>
        <v>0</v>
      </c>
      <c r="V271" s="9">
        <f t="shared" si="2"/>
        <v>0</v>
      </c>
      <c r="W271" s="19">
        <f t="shared" si="6"/>
        <v>0</v>
      </c>
      <c r="X271" s="22"/>
      <c r="Y271" s="22"/>
    </row>
    <row r="272" spans="2:25" ht="7.15" customHeight="1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35"/>
      <c r="Q272" s="35"/>
      <c r="R272" s="8"/>
      <c r="T272" s="18">
        <f t="shared" si="4"/>
        <v>0</v>
      </c>
      <c r="U272" s="19">
        <f t="shared" si="5"/>
        <v>0</v>
      </c>
      <c r="V272" s="9">
        <f t="shared" si="2"/>
        <v>0</v>
      </c>
      <c r="W272" s="19">
        <f t="shared" si="6"/>
        <v>0</v>
      </c>
    </row>
    <row r="273" spans="2:25" ht="15.6" customHeight="1">
      <c r="B273" s="8"/>
      <c r="C273" s="63" t="s">
        <v>38</v>
      </c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7">
        <f>W273</f>
        <v>0</v>
      </c>
      <c r="Q273" s="67"/>
      <c r="R273" s="8"/>
      <c r="S273" s="21">
        <f>IF(AND(AD16&gt;0,AD16&lt;=600),0.5,IF(AD16&gt;=601,1,0))+IF(AND(AD16&gt;0,P44="*"),1,0)</f>
        <v>0</v>
      </c>
      <c r="T273" s="18">
        <f t="shared" si="4"/>
        <v>0</v>
      </c>
      <c r="U273" s="19">
        <f t="shared" si="5"/>
        <v>0</v>
      </c>
      <c r="V273" s="9">
        <f t="shared" si="2"/>
        <v>0</v>
      </c>
      <c r="W273" s="19">
        <f t="shared" si="6"/>
        <v>0</v>
      </c>
      <c r="X273" s="22"/>
      <c r="Y273" s="22"/>
    </row>
    <row r="274" spans="2:25" ht="6" customHeight="1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35"/>
      <c r="Q274" s="35"/>
      <c r="R274" s="8"/>
      <c r="T274" s="18">
        <f t="shared" si="4"/>
        <v>0</v>
      </c>
      <c r="U274" s="19">
        <f t="shared" si="5"/>
        <v>0</v>
      </c>
      <c r="V274" s="9">
        <f t="shared" si="2"/>
        <v>0</v>
      </c>
      <c r="W274" s="19">
        <f t="shared" si="6"/>
        <v>0</v>
      </c>
    </row>
    <row r="275" spans="2:25" ht="15.6" customHeight="1">
      <c r="B275" s="8"/>
      <c r="C275" s="63" t="s">
        <v>40</v>
      </c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7">
        <f>W275</f>
        <v>0</v>
      </c>
      <c r="Q275" s="67"/>
      <c r="R275" s="8"/>
      <c r="S275" s="21">
        <f>IF(AD16&gt;0,1,0)</f>
        <v>0</v>
      </c>
      <c r="T275" s="18">
        <f t="shared" si="4"/>
        <v>0</v>
      </c>
      <c r="U275" s="19">
        <f t="shared" si="5"/>
        <v>0</v>
      </c>
      <c r="V275" s="9">
        <f t="shared" si="2"/>
        <v>0</v>
      </c>
      <c r="W275" s="19">
        <f t="shared" si="6"/>
        <v>0</v>
      </c>
      <c r="X275" s="22"/>
      <c r="Y275" s="22"/>
    </row>
    <row r="276" spans="2:25" ht="5.45" customHeight="1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35"/>
      <c r="Q276" s="35"/>
      <c r="R276" s="8"/>
      <c r="T276" s="18">
        <f t="shared" si="4"/>
        <v>0</v>
      </c>
      <c r="U276" s="19">
        <f t="shared" si="5"/>
        <v>0</v>
      </c>
      <c r="V276" s="9">
        <f t="shared" si="2"/>
        <v>0</v>
      </c>
      <c r="W276" s="19">
        <f t="shared" si="6"/>
        <v>0</v>
      </c>
    </row>
    <row r="277" spans="2:25" ht="15.6" customHeight="1">
      <c r="B277" s="8"/>
      <c r="C277" s="63" t="s">
        <v>42</v>
      </c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7">
        <f>W277</f>
        <v>0</v>
      </c>
      <c r="Q277" s="67"/>
      <c r="R277" s="8"/>
      <c r="S277" s="21">
        <f>IF(AND(AD16&gt;0,P48="*"),1,0)</f>
        <v>0</v>
      </c>
      <c r="T277" s="18">
        <f t="shared" si="4"/>
        <v>0</v>
      </c>
      <c r="U277" s="19">
        <f t="shared" si="5"/>
        <v>0</v>
      </c>
      <c r="V277" s="9">
        <f t="shared" si="2"/>
        <v>0</v>
      </c>
      <c r="W277" s="19">
        <f t="shared" si="6"/>
        <v>0</v>
      </c>
      <c r="X277" s="22"/>
      <c r="Y277" s="22"/>
    </row>
    <row r="278" spans="2:25" ht="5.45" customHeight="1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35"/>
      <c r="Q278" s="35"/>
      <c r="R278" s="8"/>
      <c r="T278" s="18">
        <f t="shared" si="4"/>
        <v>0</v>
      </c>
      <c r="U278" s="19">
        <f t="shared" si="5"/>
        <v>0</v>
      </c>
      <c r="V278" s="9">
        <f t="shared" si="2"/>
        <v>0</v>
      </c>
      <c r="W278" s="19">
        <f t="shared" si="6"/>
        <v>0</v>
      </c>
    </row>
    <row r="279" spans="2:25" ht="15.6" customHeight="1">
      <c r="B279" s="8"/>
      <c r="C279" s="63" t="s">
        <v>44</v>
      </c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7">
        <f>W279</f>
        <v>0</v>
      </c>
      <c r="Q279" s="67"/>
      <c r="R279" s="8"/>
      <c r="S279" s="21">
        <f>IF(AND(AD16&gt;0,P50="*"),1,0)</f>
        <v>0</v>
      </c>
      <c r="T279" s="18">
        <f t="shared" si="4"/>
        <v>0</v>
      </c>
      <c r="U279" s="19">
        <f t="shared" si="5"/>
        <v>0</v>
      </c>
      <c r="V279" s="9">
        <f t="shared" si="2"/>
        <v>0</v>
      </c>
      <c r="W279" s="19">
        <f t="shared" si="6"/>
        <v>0</v>
      </c>
      <c r="X279" s="22"/>
      <c r="Y279" s="22"/>
    </row>
    <row r="280" spans="2:25" ht="6.6" customHeight="1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35"/>
      <c r="Q280" s="35"/>
      <c r="R280" s="8"/>
      <c r="T280" s="18">
        <f t="shared" si="4"/>
        <v>0</v>
      </c>
      <c r="U280" s="19">
        <f t="shared" si="5"/>
        <v>0</v>
      </c>
      <c r="V280" s="9">
        <f t="shared" si="2"/>
        <v>0</v>
      </c>
      <c r="W280" s="19">
        <f t="shared" si="6"/>
        <v>0</v>
      </c>
    </row>
    <row r="281" spans="2:25" ht="15.6" customHeight="1">
      <c r="B281" s="8"/>
      <c r="C281" s="63" t="s">
        <v>53</v>
      </c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7">
        <f>W281</f>
        <v>0</v>
      </c>
      <c r="Q281" s="67"/>
      <c r="R281" s="8"/>
      <c r="S281" s="21">
        <f>IF(AND(AD16&gt;0,L54&gt;0),1,0)+IF(AND(AD16&gt;0,M54&gt;0),1,0)+IF(AND(AD16&gt;0,N54&gt;0),1,0)+IF(AND(AD16&gt;0,O54&gt;0),1,0)+
IF(AND(AD16&gt;0,L55&gt;0),1,0)+IF(AND(AD16&gt;0,M55&gt;0),1,0)+IF(AND(AD16&gt;0,N55&gt;0),1,0)+IF(AND(AD16&gt;0,O55&gt;0),1,0)+
IF(AND(AD16&gt;0,L56&gt;0),1,0)+IF(AND(AD16&gt;0,M56&gt;0),1,0)+IF(AND(AD16&gt;0,N56&gt;0),1,0)+IF(AND(AD16&gt;0,O56&gt;0),1,0)+
IF(AND(AD16&gt;0,L57&gt;0),1,0)+IF(AND(AD16&gt;0,M57&gt;0),1,0)+IF(AND(AD16&gt;0,N57&gt;0),1,0)+IF(AND(AD16&gt;0,O57&gt;0),1,0)+
IF(AND(AD16&gt;0,L58&gt;0),1,0)+IF(AND(AD16&gt;0,M58&gt;0),1,0)+IF(AND(AD16&gt;0,N58&gt;0),1,0)+IF(AND(AD16&gt;0,O58&gt;0),1,0)+
IF(AND(AD16&gt;0,L59&gt;0),1,0)+IF(AND(AD16&gt;0,M59&gt;0),1,0)+IF(AND(AD16&gt;0,N59&gt;0),1,0)+IF(AND(AD16&gt;0,O59&gt;0),1,0)+
IF(AND(AD16&gt;0,L60&gt;0),1,0)+IF(AND(AD16&gt;0,M60&gt;0),1,0)+IF(AND(AD16&gt;0,N60&gt;0),1,0)+IF(AND(AD16&gt;0,O60&gt;0),1,0)+
IF(AND(AD16&gt;0,L61&gt;0),1,0)+IF(AND(AD16&gt;0,M61&gt;0),1,0)+IF(AND(AD16&gt;0,N61&gt;0),1,0)+IF(AND(AD16&gt;0,O61&gt;0),1,0)+
IF(AND(AD16&gt;0,L62&gt;0),1,0)+IF(AND(AD16&gt;0,M62&gt;0),1,0)+IF(AND(AD16&gt;0,N62&gt;0),1,0)+IF(AND(AD16&gt;0,O62&gt;0),1,0)+
IF(AND(AD16&gt;0,L63&gt;0),1,0)+IF(AND(AD16&gt;0,M63&gt;0),1,0)+IF(AND(AD16&gt;0,N63&gt;0),1,0)+IF(AND(AD16&gt;0,O63&gt;0),1,0)</f>
        <v>0</v>
      </c>
      <c r="T281" s="18">
        <f t="shared" si="4"/>
        <v>0</v>
      </c>
      <c r="U281" s="19">
        <f t="shared" si="5"/>
        <v>0</v>
      </c>
      <c r="V281" s="9">
        <f t="shared" si="2"/>
        <v>0</v>
      </c>
      <c r="W281" s="19">
        <f t="shared" si="6"/>
        <v>0</v>
      </c>
      <c r="X281" s="22"/>
      <c r="Y281" s="22"/>
    </row>
    <row r="282" spans="2:25" ht="4.1500000000000004" customHeight="1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35"/>
      <c r="Q282" s="35"/>
      <c r="R282" s="8"/>
      <c r="T282" s="18">
        <f t="shared" si="4"/>
        <v>0</v>
      </c>
      <c r="U282" s="19">
        <f t="shared" si="5"/>
        <v>0</v>
      </c>
      <c r="V282" s="9">
        <f t="shared" si="2"/>
        <v>0</v>
      </c>
      <c r="W282" s="19">
        <f t="shared" si="6"/>
        <v>0</v>
      </c>
    </row>
    <row r="283" spans="2:25" ht="15.6" customHeight="1">
      <c r="B283" s="8"/>
      <c r="C283" s="63" t="s">
        <v>54</v>
      </c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7">
        <f>W283</f>
        <v>0</v>
      </c>
      <c r="Q283" s="67"/>
      <c r="R283" s="8"/>
      <c r="S283" s="21">
        <f>IF(AD16&gt;0,IF((L54+M54+N54+O54)&gt;=251,1,0))+
IF(AD16&gt;0,IF((L55+M55+N55+O55)&gt;=251,1,0))+
IF(AD16&gt;0,IF((L56+M56+N56+O56)&gt;=251,1,0))+
IF(AD16&gt;0,IF((L57+M57+N57+O57)&gt;=251,1,0))+
IF(AD16&gt;0,IF((L58+M58+N58+O58)&gt;=251,1,0))+
IF(AD16&gt;0,IF((L59+M59+N59+O59)&gt;=251,1,0))+
IF(AD16&gt;0,IF((L60+M60+N60+O60)&gt;=251,1,0))+
IF(AD16&gt;0,IF((L61+M61+N61+O61)&gt;=251,1,0))+
IF(AD16&gt;0,IF((L62+M62+N62+O62)&gt;=251,1,0))+
IF(AD16&gt;0,IF((L63+M63+N63+O63)&gt;=251,1,0))</f>
        <v>0</v>
      </c>
      <c r="T283" s="18">
        <f t="shared" si="4"/>
        <v>0</v>
      </c>
      <c r="U283" s="19">
        <f t="shared" si="5"/>
        <v>0</v>
      </c>
      <c r="V283" s="9">
        <f t="shared" si="2"/>
        <v>0</v>
      </c>
      <c r="W283" s="19">
        <f t="shared" si="6"/>
        <v>0</v>
      </c>
      <c r="X283" s="22"/>
      <c r="Y283" s="22"/>
    </row>
    <row r="284" spans="2:25" ht="6.6" customHeight="1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35"/>
      <c r="Q284" s="35"/>
      <c r="R284" s="8"/>
      <c r="T284" s="18">
        <f t="shared" si="4"/>
        <v>0</v>
      </c>
      <c r="U284" s="19">
        <f t="shared" si="5"/>
        <v>0</v>
      </c>
      <c r="V284" s="9">
        <f t="shared" si="2"/>
        <v>0</v>
      </c>
      <c r="W284" s="19">
        <f t="shared" si="6"/>
        <v>0</v>
      </c>
    </row>
    <row r="285" spans="2:25" ht="15.6" customHeight="1">
      <c r="B285" s="8"/>
      <c r="C285" s="63" t="s">
        <v>55</v>
      </c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7">
        <f>W285</f>
        <v>0</v>
      </c>
      <c r="Q285" s="67"/>
      <c r="R285" s="8"/>
      <c r="S285" s="21">
        <f>IF(AD16&gt;=601,1,0)</f>
        <v>0</v>
      </c>
      <c r="T285" s="18">
        <f t="shared" si="4"/>
        <v>0</v>
      </c>
      <c r="U285" s="19">
        <f t="shared" si="5"/>
        <v>0</v>
      </c>
      <c r="V285" s="9">
        <f t="shared" si="2"/>
        <v>0</v>
      </c>
      <c r="W285" s="19">
        <f t="shared" si="6"/>
        <v>0</v>
      </c>
      <c r="X285" s="22"/>
      <c r="Y285" s="22"/>
    </row>
    <row r="286" spans="2:25" ht="6.6" customHeight="1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35"/>
      <c r="Q286" s="35"/>
      <c r="R286" s="8"/>
      <c r="T286" s="18">
        <f t="shared" si="4"/>
        <v>0</v>
      </c>
      <c r="U286" s="19">
        <f t="shared" si="5"/>
        <v>0</v>
      </c>
      <c r="V286" s="9">
        <f t="shared" si="2"/>
        <v>0</v>
      </c>
      <c r="W286" s="19">
        <f t="shared" si="6"/>
        <v>0</v>
      </c>
    </row>
    <row r="287" spans="2:25" ht="15.6" customHeight="1">
      <c r="B287" s="8"/>
      <c r="C287" s="63" t="s">
        <v>56</v>
      </c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7">
        <f>W287</f>
        <v>0</v>
      </c>
      <c r="Q287" s="67"/>
      <c r="R287" s="8"/>
      <c r="S287" s="21">
        <f>IF(AND(AD16&gt;0,AD16&lt;=280),1,IF(AND(AD16&gt;280,AD16&lt;=1000),1.5,IF(AD16&gt;1000,2,0)))</f>
        <v>0</v>
      </c>
      <c r="T287" s="18">
        <f t="shared" si="4"/>
        <v>0</v>
      </c>
      <c r="U287" s="19">
        <f t="shared" si="5"/>
        <v>0</v>
      </c>
      <c r="V287" s="9">
        <f t="shared" si="2"/>
        <v>0</v>
      </c>
      <c r="W287" s="19">
        <f t="shared" si="6"/>
        <v>0</v>
      </c>
      <c r="X287" s="22"/>
      <c r="Y287" s="22"/>
    </row>
    <row r="288" spans="2:25" ht="5.45" customHeight="1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35"/>
      <c r="Q288" s="35"/>
      <c r="R288" s="8"/>
      <c r="T288" s="18">
        <f t="shared" si="4"/>
        <v>0</v>
      </c>
      <c r="U288" s="19">
        <f t="shared" si="5"/>
        <v>0</v>
      </c>
      <c r="V288" s="9">
        <f t="shared" si="2"/>
        <v>0</v>
      </c>
      <c r="W288" s="19">
        <f t="shared" si="6"/>
        <v>0</v>
      </c>
    </row>
    <row r="289" spans="2:25" ht="15.6" customHeight="1">
      <c r="B289" s="8"/>
      <c r="C289" s="63" t="s">
        <v>57</v>
      </c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7">
        <f>W289</f>
        <v>0</v>
      </c>
      <c r="Q289" s="67"/>
      <c r="R289" s="8"/>
      <c r="S289" s="21">
        <f>IF(AND(AD16&gt;0,AD16&lt;=300),0.5,IF(AD16&gt;280,1,0))</f>
        <v>0</v>
      </c>
      <c r="T289" s="18">
        <f t="shared" si="4"/>
        <v>0</v>
      </c>
      <c r="U289" s="19">
        <f t="shared" si="5"/>
        <v>0</v>
      </c>
      <c r="V289" s="9">
        <f t="shared" si="2"/>
        <v>0</v>
      </c>
      <c r="W289" s="19">
        <f t="shared" si="6"/>
        <v>0</v>
      </c>
      <c r="X289" s="22"/>
      <c r="Y289" s="22"/>
    </row>
    <row r="290" spans="2:25" ht="4.9000000000000004" customHeight="1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35"/>
      <c r="Q290" s="35"/>
      <c r="R290" s="8"/>
      <c r="T290" s="18">
        <f t="shared" si="4"/>
        <v>0</v>
      </c>
      <c r="U290" s="19">
        <f t="shared" si="5"/>
        <v>0</v>
      </c>
      <c r="V290" s="9">
        <f t="shared" si="2"/>
        <v>0</v>
      </c>
      <c r="W290" s="19">
        <f t="shared" si="6"/>
        <v>0</v>
      </c>
    </row>
    <row r="291" spans="2:25" ht="15.6" customHeight="1">
      <c r="B291" s="8"/>
      <c r="C291" s="63" t="s">
        <v>58</v>
      </c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7">
        <f>W291</f>
        <v>0</v>
      </c>
      <c r="Q291" s="67"/>
      <c r="R291" s="8"/>
      <c r="S291" s="21">
        <f>IF(AD16&gt;0,P65/800,0)+IF(AD16&gt;0,P67/120,0)</f>
        <v>0</v>
      </c>
      <c r="T291" s="18">
        <f t="shared" si="4"/>
        <v>0</v>
      </c>
      <c r="U291" s="19">
        <f t="shared" si="5"/>
        <v>0</v>
      </c>
      <c r="V291" s="9">
        <f t="shared" si="2"/>
        <v>0</v>
      </c>
      <c r="W291" s="19">
        <f t="shared" si="6"/>
        <v>0</v>
      </c>
      <c r="X291" s="22"/>
      <c r="Y291" s="22"/>
    </row>
    <row r="292" spans="2:25" ht="5.45" customHeight="1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35"/>
      <c r="Q292" s="35"/>
      <c r="R292" s="8"/>
      <c r="T292" s="18">
        <f t="shared" si="4"/>
        <v>0</v>
      </c>
      <c r="U292" s="19">
        <f t="shared" si="5"/>
        <v>0</v>
      </c>
      <c r="V292" s="9">
        <f t="shared" si="2"/>
        <v>0</v>
      </c>
      <c r="W292" s="19">
        <f t="shared" si="6"/>
        <v>0</v>
      </c>
    </row>
    <row r="293" spans="2:25" ht="15.6" customHeight="1">
      <c r="B293" s="8"/>
      <c r="C293" s="63" t="s">
        <v>61</v>
      </c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7">
        <f>W293</f>
        <v>0</v>
      </c>
      <c r="Q293" s="67"/>
      <c r="R293" s="8"/>
      <c r="S293" s="21">
        <f>IF(P75=0,0,IF(AD16&gt;0,(P69+P71+P73)/P75,0))</f>
        <v>0</v>
      </c>
      <c r="T293" s="18">
        <f t="shared" si="4"/>
        <v>0</v>
      </c>
      <c r="U293" s="19">
        <f t="shared" si="5"/>
        <v>0</v>
      </c>
      <c r="V293" s="9">
        <f t="shared" si="2"/>
        <v>0</v>
      </c>
      <c r="W293" s="19">
        <f t="shared" si="6"/>
        <v>0</v>
      </c>
      <c r="X293" s="22"/>
      <c r="Y293" s="22"/>
    </row>
    <row r="294" spans="2:25" ht="6" customHeight="1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35"/>
      <c r="Q294" s="35"/>
      <c r="R294" s="8"/>
      <c r="T294" s="18">
        <f t="shared" si="4"/>
        <v>0</v>
      </c>
      <c r="U294" s="19">
        <f t="shared" si="5"/>
        <v>0</v>
      </c>
      <c r="V294" s="9">
        <f t="shared" si="2"/>
        <v>0</v>
      </c>
      <c r="W294" s="19">
        <f t="shared" si="6"/>
        <v>0</v>
      </c>
    </row>
    <row r="295" spans="2:25" ht="15.6" customHeight="1">
      <c r="B295" s="8"/>
      <c r="C295" s="63" t="s">
        <v>64</v>
      </c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7">
        <f>W295</f>
        <v>0</v>
      </c>
      <c r="Q295" s="67"/>
      <c r="R295" s="8"/>
      <c r="S295" s="21">
        <f>IF(AD16&gt;0,P77,0)+IF(AD16&gt;0,P79,0)+IF(AD16&gt;0,P81,0)+IF(AD16&gt;0,P83/1400,0)+IF(AD16&gt;0,P85,0)+IF(AD16&gt;0,P87,0)+IF(AD16&gt;0,P91/1080,0)+IF(AD16&gt;0,P93/1080,0)+IF(AD16&gt;0,P95/900,0)</f>
        <v>0</v>
      </c>
      <c r="T295" s="18">
        <f t="shared" si="4"/>
        <v>0</v>
      </c>
      <c r="U295" s="19">
        <f t="shared" si="5"/>
        <v>0</v>
      </c>
      <c r="V295" s="9">
        <f t="shared" si="2"/>
        <v>0</v>
      </c>
      <c r="W295" s="19">
        <f t="shared" si="6"/>
        <v>0</v>
      </c>
      <c r="X295" s="22"/>
      <c r="Y295" s="22"/>
    </row>
    <row r="296" spans="2:25" ht="5.45" customHeight="1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35"/>
      <c r="Q296" s="35"/>
      <c r="R296" s="8"/>
      <c r="T296" s="18">
        <f t="shared" si="4"/>
        <v>0</v>
      </c>
      <c r="U296" s="19">
        <f t="shared" si="5"/>
        <v>0</v>
      </c>
      <c r="V296" s="9">
        <f t="shared" si="2"/>
        <v>0</v>
      </c>
      <c r="W296" s="19">
        <f t="shared" si="6"/>
        <v>0</v>
      </c>
    </row>
    <row r="297" spans="2:25" ht="15.6" customHeight="1">
      <c r="B297" s="8"/>
      <c r="C297" s="63" t="s">
        <v>75</v>
      </c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7">
        <f>W297</f>
        <v>0</v>
      </c>
      <c r="Q297" s="67"/>
      <c r="R297" s="8"/>
      <c r="S297" s="21">
        <f>IF(AD16&gt;0,P97/1400,0)</f>
        <v>0</v>
      </c>
      <c r="T297" s="18">
        <f t="shared" si="4"/>
        <v>0</v>
      </c>
      <c r="U297" s="19">
        <f t="shared" si="5"/>
        <v>0</v>
      </c>
      <c r="V297" s="9">
        <f t="shared" si="2"/>
        <v>0</v>
      </c>
      <c r="W297" s="19">
        <f t="shared" si="6"/>
        <v>0</v>
      </c>
      <c r="X297" s="22"/>
      <c r="Y297" s="22"/>
    </row>
    <row r="298" spans="2:25" ht="6" customHeight="1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35"/>
      <c r="Q298" s="35"/>
      <c r="R298" s="8"/>
      <c r="T298" s="18">
        <f t="shared" si="4"/>
        <v>0</v>
      </c>
      <c r="U298" s="19">
        <f t="shared" si="5"/>
        <v>0</v>
      </c>
      <c r="V298" s="9">
        <f t="shared" si="2"/>
        <v>0</v>
      </c>
      <c r="W298" s="19">
        <f t="shared" si="6"/>
        <v>0</v>
      </c>
    </row>
    <row r="299" spans="2:25" ht="15.6" customHeight="1">
      <c r="B299" s="8"/>
      <c r="C299" s="63" t="s">
        <v>77</v>
      </c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7">
        <f>W299</f>
        <v>0</v>
      </c>
      <c r="Q299" s="67"/>
      <c r="R299" s="8"/>
      <c r="S299" s="21">
        <f>IF(AD16&gt;0,1,0)</f>
        <v>0</v>
      </c>
      <c r="T299" s="18">
        <f t="shared" si="4"/>
        <v>0</v>
      </c>
      <c r="U299" s="19">
        <f t="shared" si="5"/>
        <v>0</v>
      </c>
      <c r="V299" s="9">
        <f t="shared" si="2"/>
        <v>0</v>
      </c>
      <c r="W299" s="19">
        <f t="shared" si="6"/>
        <v>0</v>
      </c>
      <c r="X299" s="22"/>
      <c r="Y299" s="22"/>
    </row>
    <row r="300" spans="2:25" ht="5.45" customHeight="1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35"/>
      <c r="Q300" s="35"/>
      <c r="R300" s="8"/>
      <c r="T300" s="18">
        <f t="shared" si="4"/>
        <v>0</v>
      </c>
      <c r="U300" s="19">
        <f t="shared" si="5"/>
        <v>0</v>
      </c>
      <c r="V300" s="9">
        <f t="shared" si="2"/>
        <v>0</v>
      </c>
      <c r="W300" s="19">
        <f t="shared" si="6"/>
        <v>0</v>
      </c>
    </row>
    <row r="301" spans="2:25" ht="15.6" customHeight="1">
      <c r="B301" s="8"/>
      <c r="C301" s="63" t="s">
        <v>79</v>
      </c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7">
        <f>W301</f>
        <v>0</v>
      </c>
      <c r="Q301" s="67"/>
      <c r="R301" s="8"/>
      <c r="S301" s="21">
        <f>IF(AND(AD16&gt;0,P99="*"),1,0)+IF(AND(AD16&gt;0,P101&gt;=401),1,0)+IF(AND(AD16&gt;0,P103&gt;=101,P103&lt;=200),0.5,0)+IF(AND(AD16&gt;0,P103&gt;200),1,0)+IF(AD16&gt;0,P105,0)</f>
        <v>0</v>
      </c>
      <c r="T301" s="18">
        <f t="shared" si="4"/>
        <v>0</v>
      </c>
      <c r="U301" s="19">
        <f t="shared" si="5"/>
        <v>0</v>
      </c>
      <c r="V301" s="9">
        <f t="shared" ref="V301:V364" si="7">IF(AND(U301&gt;0,U301&lt;=0.13),0,IF(AND(U301&gt;0.13,U301&lt;=0.37),0.25,IF(AND(U301&gt;0.37,U301&lt;=0.62),0.5,IF(AND(U301&gt;0.62,U301&lt;=0.87),0.75,IF(U301&gt;0.87,1,0)))))</f>
        <v>0</v>
      </c>
      <c r="W301" s="19">
        <f t="shared" si="6"/>
        <v>0</v>
      </c>
      <c r="X301" s="22"/>
      <c r="Y301" s="22"/>
    </row>
    <row r="302" spans="2:25" ht="6" customHeight="1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35"/>
      <c r="Q302" s="35"/>
      <c r="R302" s="8"/>
      <c r="T302" s="18">
        <f t="shared" ref="T302:T365" si="8">INT(S302)</f>
        <v>0</v>
      </c>
      <c r="U302" s="19">
        <f t="shared" ref="U302:U365" si="9">S302-T302</f>
        <v>0</v>
      </c>
      <c r="V302" s="9">
        <f t="shared" si="7"/>
        <v>0</v>
      </c>
      <c r="W302" s="19">
        <f t="shared" ref="W302:W365" si="10">T302+V302</f>
        <v>0</v>
      </c>
    </row>
    <row r="303" spans="2:25" ht="15.6" customHeight="1">
      <c r="B303" s="8"/>
      <c r="C303" s="63" t="s">
        <v>267</v>
      </c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7">
        <f>W303</f>
        <v>0</v>
      </c>
      <c r="Q303" s="67"/>
      <c r="R303" s="8"/>
      <c r="S303" s="21">
        <f>IF(AND(AD16&gt;0,AD16&lt;=400),0.5,IF(AND(AD16&gt;0,AD16&gt;400),1,0))</f>
        <v>0</v>
      </c>
      <c r="T303" s="18">
        <f t="shared" si="8"/>
        <v>0</v>
      </c>
      <c r="U303" s="19">
        <f t="shared" si="9"/>
        <v>0</v>
      </c>
      <c r="V303" s="9">
        <f t="shared" si="7"/>
        <v>0</v>
      </c>
      <c r="W303" s="19">
        <f t="shared" si="10"/>
        <v>0</v>
      </c>
      <c r="X303" s="22"/>
      <c r="Y303" s="22"/>
    </row>
    <row r="304" spans="2:25" ht="6.6" customHeight="1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35"/>
      <c r="Q304" s="35"/>
      <c r="R304" s="8"/>
      <c r="T304" s="18">
        <f t="shared" si="8"/>
        <v>0</v>
      </c>
      <c r="U304" s="19">
        <f t="shared" si="9"/>
        <v>0</v>
      </c>
      <c r="V304" s="9">
        <f t="shared" si="7"/>
        <v>0</v>
      </c>
      <c r="W304" s="19">
        <f t="shared" si="10"/>
        <v>0</v>
      </c>
    </row>
    <row r="305" spans="2:25" ht="15.6" customHeight="1">
      <c r="B305" s="8"/>
      <c r="C305" s="63" t="s">
        <v>82</v>
      </c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7">
        <f>W305</f>
        <v>0</v>
      </c>
      <c r="Q305" s="67"/>
      <c r="R305" s="8"/>
      <c r="S305" s="21">
        <f>IF(AND(AD16&gt;0,AD16&lt;0.5),0.5,AD16/300)</f>
        <v>0</v>
      </c>
      <c r="T305" s="18">
        <f t="shared" si="8"/>
        <v>0</v>
      </c>
      <c r="U305" s="19">
        <f t="shared" si="9"/>
        <v>0</v>
      </c>
      <c r="V305" s="9">
        <f t="shared" si="7"/>
        <v>0</v>
      </c>
      <c r="W305" s="19">
        <f t="shared" si="10"/>
        <v>0</v>
      </c>
      <c r="X305" s="22"/>
      <c r="Y305" s="22"/>
    </row>
    <row r="306" spans="2:25" ht="4.9000000000000004" customHeight="1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35"/>
      <c r="Q306" s="35"/>
      <c r="R306" s="8"/>
      <c r="T306" s="18">
        <f t="shared" si="8"/>
        <v>0</v>
      </c>
      <c r="U306" s="19">
        <f t="shared" si="9"/>
        <v>0</v>
      </c>
      <c r="V306" s="9">
        <f t="shared" si="7"/>
        <v>0</v>
      </c>
      <c r="W306" s="19">
        <f t="shared" si="10"/>
        <v>0</v>
      </c>
    </row>
    <row r="307" spans="2:25" ht="15.6" customHeight="1">
      <c r="B307" s="8"/>
      <c r="C307" s="63" t="s">
        <v>83</v>
      </c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7">
        <f>W307</f>
        <v>0</v>
      </c>
      <c r="Q307" s="67"/>
      <c r="R307" s="8"/>
      <c r="S307" s="21">
        <f>IF(AD16&gt;0,P107/75,0)+IF(AD16&gt;0,P109/50,0)+IF(AD16&gt;0,P111/12,0)</f>
        <v>0</v>
      </c>
      <c r="T307" s="18">
        <f t="shared" si="8"/>
        <v>0</v>
      </c>
      <c r="U307" s="19">
        <f t="shared" si="9"/>
        <v>0</v>
      </c>
      <c r="V307" s="9">
        <f t="shared" si="7"/>
        <v>0</v>
      </c>
      <c r="W307" s="19">
        <f t="shared" si="10"/>
        <v>0</v>
      </c>
      <c r="X307" s="22"/>
      <c r="Y307" s="22"/>
    </row>
    <row r="308" spans="2:25" ht="6" customHeight="1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35"/>
      <c r="Q308" s="35"/>
      <c r="R308" s="8"/>
      <c r="T308" s="18">
        <f t="shared" si="8"/>
        <v>0</v>
      </c>
      <c r="U308" s="19">
        <f t="shared" si="9"/>
        <v>0</v>
      </c>
      <c r="V308" s="9">
        <f t="shared" si="7"/>
        <v>0</v>
      </c>
      <c r="W308" s="19">
        <f t="shared" si="10"/>
        <v>0</v>
      </c>
    </row>
    <row r="309" spans="2:25" ht="15.6" customHeight="1">
      <c r="B309" s="8"/>
      <c r="C309" s="63" t="s">
        <v>86</v>
      </c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7">
        <f>W309</f>
        <v>0</v>
      </c>
      <c r="Q309" s="67"/>
      <c r="R309" s="8"/>
      <c r="S309" s="21">
        <f>IF(AD16&gt;0,P113,0)</f>
        <v>0</v>
      </c>
      <c r="T309" s="18">
        <f t="shared" si="8"/>
        <v>0</v>
      </c>
      <c r="U309" s="19">
        <f t="shared" si="9"/>
        <v>0</v>
      </c>
      <c r="V309" s="9">
        <f t="shared" si="7"/>
        <v>0</v>
      </c>
      <c r="W309" s="19">
        <f t="shared" si="10"/>
        <v>0</v>
      </c>
      <c r="X309" s="22"/>
      <c r="Y309" s="22"/>
    </row>
    <row r="310" spans="2:25" ht="5.45" customHeight="1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35"/>
      <c r="Q310" s="35"/>
      <c r="R310" s="8"/>
      <c r="T310" s="18">
        <f t="shared" si="8"/>
        <v>0</v>
      </c>
      <c r="U310" s="19">
        <f t="shared" si="9"/>
        <v>0</v>
      </c>
      <c r="V310" s="9">
        <f t="shared" si="7"/>
        <v>0</v>
      </c>
      <c r="W310" s="19">
        <f t="shared" si="10"/>
        <v>0</v>
      </c>
    </row>
    <row r="311" spans="2:25" ht="15.6" customHeight="1">
      <c r="B311" s="8"/>
      <c r="C311" s="63" t="s">
        <v>88</v>
      </c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7">
        <f>W311</f>
        <v>0</v>
      </c>
      <c r="Q311" s="67"/>
      <c r="R311" s="8"/>
      <c r="S311" s="21">
        <f>IF(AND(AD16&gt;0,P115="*"),1,0)</f>
        <v>0</v>
      </c>
      <c r="T311" s="18">
        <f t="shared" si="8"/>
        <v>0</v>
      </c>
      <c r="U311" s="19">
        <f t="shared" si="9"/>
        <v>0</v>
      </c>
      <c r="V311" s="9">
        <f t="shared" si="7"/>
        <v>0</v>
      </c>
      <c r="W311" s="19">
        <f t="shared" si="10"/>
        <v>0</v>
      </c>
      <c r="X311" s="22"/>
      <c r="Y311" s="22"/>
    </row>
    <row r="312" spans="2:25" ht="6" customHeight="1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35"/>
      <c r="Q312" s="35"/>
      <c r="R312" s="8"/>
      <c r="T312" s="18">
        <f t="shared" si="8"/>
        <v>0</v>
      </c>
      <c r="U312" s="19">
        <f t="shared" si="9"/>
        <v>0</v>
      </c>
      <c r="V312" s="9">
        <f t="shared" si="7"/>
        <v>0</v>
      </c>
      <c r="W312" s="19">
        <f t="shared" si="10"/>
        <v>0</v>
      </c>
    </row>
    <row r="313" spans="2:25" ht="15.6" customHeight="1">
      <c r="B313" s="8"/>
      <c r="C313" s="63" t="s">
        <v>90</v>
      </c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7">
        <f>W313</f>
        <v>0</v>
      </c>
      <c r="Q313" s="67"/>
      <c r="R313" s="8"/>
      <c r="S313" s="21">
        <f>IF(AND(AD16&gt;0,P117="*"),1,0)+IF(AND(AD16&gt;0,P99="*"),1,0)</f>
        <v>0</v>
      </c>
      <c r="T313" s="18">
        <f t="shared" si="8"/>
        <v>0</v>
      </c>
      <c r="U313" s="19">
        <f t="shared" si="9"/>
        <v>0</v>
      </c>
      <c r="V313" s="9">
        <f t="shared" si="7"/>
        <v>0</v>
      </c>
      <c r="W313" s="19">
        <f t="shared" si="10"/>
        <v>0</v>
      </c>
      <c r="X313" s="22"/>
      <c r="Y313" s="22"/>
    </row>
    <row r="314" spans="2:25" ht="5.45" customHeight="1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35"/>
      <c r="Q314" s="35"/>
      <c r="R314" s="8"/>
      <c r="T314" s="18">
        <f t="shared" si="8"/>
        <v>0</v>
      </c>
      <c r="U314" s="19">
        <f t="shared" si="9"/>
        <v>0</v>
      </c>
      <c r="V314" s="9">
        <f t="shared" si="7"/>
        <v>0</v>
      </c>
      <c r="W314" s="19">
        <f t="shared" si="10"/>
        <v>0</v>
      </c>
    </row>
    <row r="315" spans="2:25" ht="15.6" customHeight="1">
      <c r="B315" s="8"/>
      <c r="C315" s="63" t="s">
        <v>92</v>
      </c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7">
        <f>W315</f>
        <v>0</v>
      </c>
      <c r="Q315" s="67"/>
      <c r="R315" s="8"/>
      <c r="S315" s="21">
        <f>IF(AND(AD16&gt;0,P117="*"),1,0)</f>
        <v>0</v>
      </c>
      <c r="T315" s="18">
        <f t="shared" si="8"/>
        <v>0</v>
      </c>
      <c r="U315" s="19">
        <f t="shared" si="9"/>
        <v>0</v>
      </c>
      <c r="V315" s="9">
        <f t="shared" si="7"/>
        <v>0</v>
      </c>
      <c r="W315" s="19">
        <f t="shared" si="10"/>
        <v>0</v>
      </c>
      <c r="X315" s="22"/>
      <c r="Y315" s="22"/>
    </row>
    <row r="316" spans="2:25" ht="6.6" customHeight="1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35"/>
      <c r="Q316" s="35"/>
      <c r="R316" s="8"/>
      <c r="T316" s="18">
        <f t="shared" si="8"/>
        <v>0</v>
      </c>
      <c r="U316" s="19">
        <f t="shared" si="9"/>
        <v>0</v>
      </c>
      <c r="V316" s="9">
        <f t="shared" si="7"/>
        <v>0</v>
      </c>
      <c r="W316" s="19">
        <f t="shared" si="10"/>
        <v>0</v>
      </c>
    </row>
    <row r="317" spans="2:25" ht="15.6" customHeight="1">
      <c r="B317" s="8"/>
      <c r="C317" s="63" t="s">
        <v>93</v>
      </c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7">
        <f>W317</f>
        <v>0</v>
      </c>
      <c r="Q317" s="67"/>
      <c r="R317" s="8"/>
      <c r="S317" s="21">
        <f>IF(AND(AD16&gt;0,P119&gt;=50,P119&lt;=150),0.5,IF(AND(AD16&gt;0,P119&gt;150),1,0))</f>
        <v>0</v>
      </c>
      <c r="T317" s="18">
        <f t="shared" si="8"/>
        <v>0</v>
      </c>
      <c r="U317" s="19">
        <f t="shared" si="9"/>
        <v>0</v>
      </c>
      <c r="V317" s="9">
        <f t="shared" si="7"/>
        <v>0</v>
      </c>
      <c r="W317" s="19">
        <f t="shared" si="10"/>
        <v>0</v>
      </c>
      <c r="X317" s="22"/>
      <c r="Y317" s="22"/>
    </row>
    <row r="318" spans="2:25" ht="4.9000000000000004" customHeight="1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35"/>
      <c r="Q318" s="35"/>
      <c r="R318" s="8"/>
      <c r="T318" s="18">
        <f t="shared" si="8"/>
        <v>0</v>
      </c>
      <c r="U318" s="19">
        <f t="shared" si="9"/>
        <v>0</v>
      </c>
      <c r="V318" s="9">
        <f t="shared" si="7"/>
        <v>0</v>
      </c>
      <c r="W318" s="19">
        <f t="shared" si="10"/>
        <v>0</v>
      </c>
    </row>
    <row r="319" spans="2:25" ht="15.6" customHeight="1">
      <c r="B319" s="8"/>
      <c r="C319" s="63" t="s">
        <v>95</v>
      </c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7">
        <f>W319</f>
        <v>0</v>
      </c>
      <c r="Q319" s="67"/>
      <c r="R319" s="8"/>
      <c r="S319" s="21">
        <f>IF(AND(AD16&gt;0,P121&gt;=30),1,0)</f>
        <v>0</v>
      </c>
      <c r="T319" s="18">
        <f t="shared" si="8"/>
        <v>0</v>
      </c>
      <c r="U319" s="19">
        <f t="shared" si="9"/>
        <v>0</v>
      </c>
      <c r="V319" s="9">
        <f t="shared" si="7"/>
        <v>0</v>
      </c>
      <c r="W319" s="19">
        <f t="shared" si="10"/>
        <v>0</v>
      </c>
      <c r="X319" s="22"/>
      <c r="Y319" s="22"/>
    </row>
    <row r="320" spans="2:25" ht="5.45" customHeight="1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35"/>
      <c r="Q320" s="35"/>
      <c r="R320" s="8"/>
      <c r="T320" s="18">
        <f t="shared" si="8"/>
        <v>0</v>
      </c>
      <c r="U320" s="19">
        <f t="shared" si="9"/>
        <v>0</v>
      </c>
      <c r="V320" s="9">
        <f t="shared" si="7"/>
        <v>0</v>
      </c>
      <c r="W320" s="19">
        <f t="shared" si="10"/>
        <v>0</v>
      </c>
    </row>
    <row r="321" spans="2:25" ht="47.45" customHeight="1">
      <c r="B321" s="8"/>
      <c r="C321" s="111" t="s">
        <v>97</v>
      </c>
      <c r="D321" s="111"/>
      <c r="E321" s="111"/>
      <c r="F321" s="111"/>
      <c r="G321" s="112" t="s">
        <v>268</v>
      </c>
      <c r="H321" s="112"/>
      <c r="I321" s="112"/>
      <c r="J321" s="112"/>
      <c r="K321" s="112"/>
      <c r="L321" s="112"/>
      <c r="M321" s="112"/>
      <c r="N321" s="112"/>
      <c r="O321" s="112"/>
      <c r="P321" s="68"/>
      <c r="Q321" s="68"/>
      <c r="R321" s="8"/>
      <c r="S321" s="13"/>
      <c r="T321" s="18"/>
      <c r="U321" s="19"/>
      <c r="V321" s="9">
        <f t="shared" si="7"/>
        <v>0</v>
      </c>
      <c r="W321" s="19"/>
      <c r="X321" s="13"/>
      <c r="Y321" s="13"/>
    </row>
    <row r="322" spans="2:25" ht="9" customHeight="1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35"/>
      <c r="Q322" s="35"/>
      <c r="R322" s="8"/>
      <c r="T322" s="18">
        <f t="shared" si="8"/>
        <v>0</v>
      </c>
      <c r="U322" s="19">
        <f t="shared" si="9"/>
        <v>0</v>
      </c>
      <c r="V322" s="9">
        <f t="shared" si="7"/>
        <v>0</v>
      </c>
      <c r="W322" s="19">
        <f t="shared" si="10"/>
        <v>0</v>
      </c>
    </row>
    <row r="323" spans="2:25" ht="15.6" customHeight="1">
      <c r="B323" s="8"/>
      <c r="C323" s="63" t="s">
        <v>98</v>
      </c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7">
        <f>W323</f>
        <v>0</v>
      </c>
      <c r="Q323" s="67"/>
      <c r="R323" s="8"/>
      <c r="S323" s="21">
        <f>IF(AND(AD16&gt;0,P123="*"),P125/1040,0)+IF(AND(AD16&gt;0,P127="*"),P129/400,0)</f>
        <v>0</v>
      </c>
      <c r="T323" s="18">
        <f t="shared" si="8"/>
        <v>0</v>
      </c>
      <c r="U323" s="19">
        <f t="shared" si="9"/>
        <v>0</v>
      </c>
      <c r="V323" s="9">
        <f t="shared" si="7"/>
        <v>0</v>
      </c>
      <c r="W323" s="19">
        <f t="shared" si="10"/>
        <v>0</v>
      </c>
      <c r="X323" s="22"/>
      <c r="Y323" s="22"/>
    </row>
    <row r="324" spans="2:25" ht="3.6" customHeight="1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35"/>
      <c r="Q324" s="35"/>
      <c r="R324" s="8"/>
      <c r="T324" s="18">
        <f t="shared" si="8"/>
        <v>0</v>
      </c>
      <c r="U324" s="19">
        <f t="shared" si="9"/>
        <v>0</v>
      </c>
      <c r="V324" s="9">
        <f t="shared" si="7"/>
        <v>0</v>
      </c>
      <c r="W324" s="19">
        <f t="shared" si="10"/>
        <v>0</v>
      </c>
    </row>
    <row r="325" spans="2:25" ht="15.6" customHeight="1">
      <c r="B325" s="8"/>
      <c r="C325" s="63" t="s">
        <v>102</v>
      </c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7">
        <f>W325</f>
        <v>0</v>
      </c>
      <c r="Q325" s="67"/>
      <c r="R325" s="8"/>
      <c r="S325" s="21">
        <f>IF(AND(AD16&gt;0,SUM(L54,M54,N54,O54)&gt;=101,SUM(L54,M54,N54,O54)&lt;=500),0.5,IF(AND(AD16&gt;0,SUM(L54,M54,N54,O54)&gt;500),1,0))+
IF(AND(AD16&gt;0,SUM(L55,M55,N55,O55)&gt;=101,SUM(L55,M55,N55,O55)&lt;=500),0.5,IF(AND(AD16&gt;0,SUM(L55,M55,N55,O55)&gt;500),1,0))+
IF(AND(AD16&gt;0,SUM(L56,M56,N56,O56)&gt;=101,SUM(L56,M56,N56,O56)&lt;=500),0.5,IF(AND(AD16&gt;0,SUM(L56,M56,N56,O56)&gt;500),1,0))+
IF(AND(AD16&gt;0,SUM(L57,M57,N57,O57)&gt;=101,SUM(L57,M57,N57,O57)&lt;=500),0.5,IF(AND(AD16&gt;0,SUM(L57,M57,N57,O57)&gt;500),1,0))+
IF(AND(AD16&gt;0,SUM(L58,M58,N58,O58)&gt;=101,SUM(L58,M58,N58,O58)&lt;=500),0.5,IF(AND(AD16&gt;0,SUM(L58,M58,N58,O58)&gt;500),1,0))+
IF(AND(AD16&gt;0,SUM(L59,M59,N59,O59)&gt;=101,SUM(L59,M59,N59,O59)&lt;=500),0.5,IF(AND(AD16&gt;0,SUM(L59,M59,N59,O59)&gt;500),1,0))+
IF(AND(AD16&gt;0,SUM(L61,M61,N61,O61)&gt;=101,SUM(L61,M61,N61,O61)&lt;=500),0.5,IF(AND(AD16&gt;0,SUM(L61,M61,N61,O61)&gt;500),1,0))+
IF(AND(AD16&gt;0,SUM(L62,M62,N62,O62)&gt;=101,SUM(L62,M62,N62,O62)&lt;=500),0.5,IF(AND(AD16&gt;0,SUM(L62,M62,N62,O62)&gt;500),1,0))+
IF(AND(AD16&gt;0,SUM(L63,M63,N63,O63)&gt;=101,SUM(L63,M63,N63,O63)&lt;=500),0.5,IF(AND(AD16&gt;0,SUM(L63,M63,N63,O63)&gt;500),1,0))+
IF(AND(AD16&gt;0,SUM(L60,M60,N60,O60)&gt;=101,SUM(L60,M60,N60,O60)&lt;=500),0.5,IF(AND(AD16&gt;0,SUM(L60,M60,N60,O60)&gt;500),1,0))</f>
        <v>0</v>
      </c>
      <c r="T325" s="18">
        <f t="shared" si="8"/>
        <v>0</v>
      </c>
      <c r="U325" s="19">
        <f t="shared" si="9"/>
        <v>0</v>
      </c>
      <c r="V325" s="9">
        <f t="shared" si="7"/>
        <v>0</v>
      </c>
      <c r="W325" s="19">
        <f t="shared" si="10"/>
        <v>0</v>
      </c>
      <c r="X325" s="22"/>
      <c r="Y325" s="22"/>
    </row>
    <row r="326" spans="2:25" ht="6" customHeight="1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35"/>
      <c r="Q326" s="35"/>
      <c r="R326" s="8"/>
      <c r="T326" s="18">
        <f t="shared" si="8"/>
        <v>0</v>
      </c>
      <c r="U326" s="19">
        <f t="shared" si="9"/>
        <v>0</v>
      </c>
      <c r="V326" s="9">
        <f t="shared" si="7"/>
        <v>0</v>
      </c>
      <c r="W326" s="19">
        <f t="shared" si="10"/>
        <v>0</v>
      </c>
    </row>
    <row r="327" spans="2:25" ht="15.6" customHeight="1">
      <c r="B327" s="8"/>
      <c r="C327" s="63" t="s">
        <v>103</v>
      </c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7">
        <f>W327</f>
        <v>0</v>
      </c>
      <c r="Q327" s="67"/>
      <c r="R327" s="8"/>
      <c r="S327" s="21">
        <f>IF(AD16&gt;0,J54*K54,0)+IF(AD16&gt;0,J55*K55,0)+IF(AD16&gt;0,J56*K56,0)+IF(AD16&gt;0,J57*K57,0)+IF(AD16&gt;0,J58*K58,0)+IF(AD16&gt;0,J59*K59,0)+IF(AD16&gt;0,J60*K60,0)+IF(AD16&gt;0,J61*K61,0)+IF(AD16&gt;0,J62*K62,0)+IF(AD16&gt;0,J63*K63,0)</f>
        <v>0</v>
      </c>
      <c r="T327" s="18">
        <f t="shared" si="8"/>
        <v>0</v>
      </c>
      <c r="U327" s="19">
        <f t="shared" si="9"/>
        <v>0</v>
      </c>
      <c r="V327" s="9">
        <f t="shared" si="7"/>
        <v>0</v>
      </c>
      <c r="W327" s="19">
        <f t="shared" si="10"/>
        <v>0</v>
      </c>
      <c r="X327" s="22"/>
      <c r="Y327" s="22"/>
    </row>
    <row r="328" spans="2:25" ht="6" customHeight="1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35"/>
      <c r="Q328" s="35"/>
      <c r="R328" s="8"/>
      <c r="T328" s="18">
        <f t="shared" si="8"/>
        <v>0</v>
      </c>
      <c r="U328" s="19">
        <f t="shared" si="9"/>
        <v>0</v>
      </c>
      <c r="V328" s="9">
        <f t="shared" si="7"/>
        <v>0</v>
      </c>
      <c r="W328" s="19">
        <f t="shared" si="10"/>
        <v>0</v>
      </c>
    </row>
    <row r="329" spans="2:25" ht="15.6" customHeight="1">
      <c r="B329" s="8"/>
      <c r="C329" s="63" t="s">
        <v>104</v>
      </c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7">
        <f>W329</f>
        <v>0</v>
      </c>
      <c r="Q329" s="67"/>
      <c r="R329" s="8"/>
      <c r="S329" s="21">
        <f>IF(AND(AD16&gt;0,L54&gt;=401),1,0)+IF(AND(AD16&gt;0,L55&gt;=401),1,0)+IF(AND(AD16&gt;0,L56&gt;=401),1,0)+IF(AND(AD16&gt;0,L57&gt;=401),1,0)+IF(AND(AD16&gt;0,L58&gt;=401),1,0)+IF(AND(AD16&gt;0,L59&gt;=401),1,0)+IF(AND(AD16&gt;0,L60&gt;=401),1,0)+IF(AND(AD16&gt;0,L61&gt;=401),1,0)+IF(AND(AD16&gt;0,L62&gt;=401),1,0)+IF(AND(AD16&gt;0,L63&gt;=401),1,0)+
IF(AND(AD16&gt;0,M54&gt;=401),1,0)+IF(AND(AD16&gt;0,M55&gt;=401),1,0)+IF(AND(AD16&gt;0,M56&gt;=401),1,0)+IF(AND(AD16&gt;0,M57&gt;=401),1,0)+IF(AND(AD16&gt;0,M58&gt;=401),1,0)+IF(AND(AD16&gt;0,M59&gt;=401),1,0)+IF(AND(AD16&gt;0,M60&gt;=401),1,0)+IF(AND(AD16&gt;0,M61&gt;=401),1,0)+IF(AND(AD16&gt;0,M62&gt;=401),1,0)+IF(AND(AD16&gt;0,M63&gt;=401),1,0)+
IF(AND(AD16&gt;0,N54&gt;=401),1,0)+IF(AND(AD16&gt;0,N55&gt;=401),1,0)+IF(AND(AD16&gt;0,N56&gt;=401),1,0)+IF(AND(AD16&gt;0,N57&gt;=401),1,0)+IF(AND(AD16&gt;0,N58&gt;=401),1,0)+IF(AND(AD16&gt;0,N59&gt;=401),1,0)+IF(AND(AD16&gt;0,N60&gt;=401),1,0)+IF(AND(AD16&gt;0,N61&gt;=401),1,0)+IF(AND(AD16&gt;0,N62&gt;=401),1,0)+IF(AND(AD16&gt;0,N63&gt;=401),1,0)+
IF(AND(AD16&gt;0,O54&gt;=401),1,0)+IF(AND(AD16&gt;0,O55&gt;=401),1,0)+IF(AND(AD16&gt;0,O56&gt;=401),1,0)+IF(AND(AD16&gt;0,O57&gt;=401),1,0)+IF(AND(AD16&gt;0,O58&gt;=401),1,0)+IF(AND(AD16&gt;0,O59&gt;=401),1,0)+IF(AND(AD16&gt;0,O60&gt;=401),1,0)+IF(AND(AD16&gt;0,O61&gt;=401),1,0)+IF(AND(AD16&gt;0,O62&gt;=401),1,0)+IF(AND(AD16&gt;0,O63&gt;=401),1,0)</f>
        <v>0</v>
      </c>
      <c r="T329" s="18">
        <f t="shared" si="8"/>
        <v>0</v>
      </c>
      <c r="U329" s="19">
        <f t="shared" si="9"/>
        <v>0</v>
      </c>
      <c r="V329" s="9">
        <f t="shared" si="7"/>
        <v>0</v>
      </c>
      <c r="W329" s="19">
        <f t="shared" si="10"/>
        <v>0</v>
      </c>
      <c r="X329" s="22"/>
      <c r="Y329" s="22"/>
    </row>
    <row r="330" spans="2:25" ht="7.9" customHeight="1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35"/>
      <c r="Q330" s="35"/>
      <c r="R330" s="8"/>
      <c r="T330" s="18">
        <f t="shared" si="8"/>
        <v>0</v>
      </c>
      <c r="U330" s="19">
        <f t="shared" si="9"/>
        <v>0</v>
      </c>
      <c r="V330" s="9">
        <f t="shared" si="7"/>
        <v>0</v>
      </c>
      <c r="W330" s="19">
        <f t="shared" si="10"/>
        <v>0</v>
      </c>
    </row>
    <row r="331" spans="2:25" ht="15.6" customHeight="1">
      <c r="B331" s="8"/>
      <c r="C331" s="63" t="s">
        <v>105</v>
      </c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7">
        <f>W331</f>
        <v>0</v>
      </c>
      <c r="Q331" s="67"/>
      <c r="R331" s="8"/>
      <c r="S331" s="21">
        <f>IF(AD16&gt;=450,0.5,IF(AND(AD16&gt;450,AD16&lt;=1500),1,IF(AD16&gt;1500,2,0)))</f>
        <v>0</v>
      </c>
      <c r="T331" s="18">
        <f t="shared" si="8"/>
        <v>0</v>
      </c>
      <c r="U331" s="19">
        <f t="shared" si="9"/>
        <v>0</v>
      </c>
      <c r="V331" s="9">
        <f t="shared" si="7"/>
        <v>0</v>
      </c>
      <c r="W331" s="19">
        <f t="shared" si="10"/>
        <v>0</v>
      </c>
      <c r="X331" s="22"/>
      <c r="Y331" s="22"/>
    </row>
    <row r="332" spans="2:25" ht="8.4499999999999993" customHeight="1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35"/>
      <c r="Q332" s="35"/>
      <c r="R332" s="8"/>
      <c r="T332" s="18">
        <f t="shared" si="8"/>
        <v>0</v>
      </c>
      <c r="U332" s="19">
        <f t="shared" si="9"/>
        <v>0</v>
      </c>
      <c r="V332" s="9">
        <f t="shared" si="7"/>
        <v>0</v>
      </c>
      <c r="W332" s="19">
        <f t="shared" si="10"/>
        <v>0</v>
      </c>
    </row>
    <row r="333" spans="2:25" ht="15.6" customHeight="1">
      <c r="B333" s="8"/>
      <c r="C333" s="63" t="s">
        <v>106</v>
      </c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7">
        <f>W333</f>
        <v>0</v>
      </c>
      <c r="Q333" s="67"/>
      <c r="R333" s="8"/>
      <c r="S333" s="21">
        <f>IF(AD16&gt;0,1,0)</f>
        <v>0</v>
      </c>
      <c r="T333" s="18">
        <f t="shared" si="8"/>
        <v>0</v>
      </c>
      <c r="U333" s="19">
        <f t="shared" si="9"/>
        <v>0</v>
      </c>
      <c r="V333" s="9">
        <f t="shared" si="7"/>
        <v>0</v>
      </c>
      <c r="W333" s="19">
        <f t="shared" si="10"/>
        <v>0</v>
      </c>
      <c r="X333" s="22"/>
      <c r="Y333" s="22"/>
    </row>
    <row r="334" spans="2:25" ht="4.9000000000000004" customHeight="1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35"/>
      <c r="Q334" s="35"/>
      <c r="R334" s="8"/>
      <c r="T334" s="18">
        <f t="shared" si="8"/>
        <v>0</v>
      </c>
      <c r="U334" s="19">
        <f t="shared" si="9"/>
        <v>0</v>
      </c>
      <c r="V334" s="9">
        <f t="shared" si="7"/>
        <v>0</v>
      </c>
      <c r="W334" s="19">
        <f t="shared" si="10"/>
        <v>0</v>
      </c>
    </row>
    <row r="335" spans="2:25" ht="15.6" customHeight="1">
      <c r="B335" s="8"/>
      <c r="C335" s="63" t="s">
        <v>107</v>
      </c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7">
        <f>W335</f>
        <v>0</v>
      </c>
      <c r="Q335" s="67"/>
      <c r="R335" s="8"/>
      <c r="S335" s="21">
        <f>IF(AD16&gt;=880,1,0)</f>
        <v>0</v>
      </c>
      <c r="T335" s="18">
        <f t="shared" si="8"/>
        <v>0</v>
      </c>
      <c r="U335" s="19">
        <f t="shared" si="9"/>
        <v>0</v>
      </c>
      <c r="V335" s="9">
        <f t="shared" si="7"/>
        <v>0</v>
      </c>
      <c r="W335" s="19">
        <f t="shared" si="10"/>
        <v>0</v>
      </c>
      <c r="X335" s="22"/>
      <c r="Y335" s="22"/>
    </row>
    <row r="336" spans="2:25" ht="6" customHeight="1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35"/>
      <c r="Q336" s="35"/>
      <c r="R336" s="8"/>
      <c r="T336" s="18">
        <f t="shared" si="8"/>
        <v>0</v>
      </c>
      <c r="U336" s="19">
        <f t="shared" si="9"/>
        <v>0</v>
      </c>
      <c r="V336" s="9">
        <f t="shared" si="7"/>
        <v>0</v>
      </c>
      <c r="W336" s="19">
        <f t="shared" si="10"/>
        <v>0</v>
      </c>
    </row>
    <row r="337" spans="2:25" ht="15.6" customHeight="1">
      <c r="B337" s="8"/>
      <c r="C337" s="63" t="s">
        <v>108</v>
      </c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7">
        <f>W337</f>
        <v>0</v>
      </c>
      <c r="Q337" s="67"/>
      <c r="R337" s="8"/>
      <c r="S337" s="21">
        <f>IF(AND(AD16&gt;0,AD16&lt;=800,P50="*"),1,0)</f>
        <v>0</v>
      </c>
      <c r="T337" s="18">
        <f t="shared" si="8"/>
        <v>0</v>
      </c>
      <c r="U337" s="19">
        <f t="shared" si="9"/>
        <v>0</v>
      </c>
      <c r="V337" s="9">
        <f t="shared" si="7"/>
        <v>0</v>
      </c>
      <c r="W337" s="19">
        <f t="shared" si="10"/>
        <v>0</v>
      </c>
      <c r="X337" s="22"/>
      <c r="Y337" s="22"/>
    </row>
    <row r="338" spans="2:25" ht="6.6" customHeight="1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35"/>
      <c r="Q338" s="35"/>
      <c r="R338" s="8"/>
      <c r="T338" s="18">
        <f t="shared" si="8"/>
        <v>0</v>
      </c>
      <c r="U338" s="19">
        <f t="shared" si="9"/>
        <v>0</v>
      </c>
      <c r="V338" s="9">
        <f t="shared" si="7"/>
        <v>0</v>
      </c>
      <c r="W338" s="19">
        <f t="shared" si="10"/>
        <v>0</v>
      </c>
    </row>
    <row r="339" spans="2:25" ht="15.6" customHeight="1">
      <c r="B339" s="8"/>
      <c r="C339" s="63" t="s">
        <v>109</v>
      </c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7">
        <f>W339</f>
        <v>0</v>
      </c>
      <c r="Q339" s="67"/>
      <c r="R339" s="8"/>
      <c r="S339" s="21">
        <f>IF(AND(AD16&gt;0,P131="*"),1,0)+IF(AND(AD16&gt;=801,P133="*"),1,0)</f>
        <v>0</v>
      </c>
      <c r="T339" s="18">
        <f t="shared" si="8"/>
        <v>0</v>
      </c>
      <c r="U339" s="19">
        <f t="shared" si="9"/>
        <v>0</v>
      </c>
      <c r="V339" s="9">
        <f t="shared" si="7"/>
        <v>0</v>
      </c>
      <c r="W339" s="19">
        <f t="shared" si="10"/>
        <v>0</v>
      </c>
      <c r="X339" s="22"/>
      <c r="Y339" s="22"/>
    </row>
    <row r="340" spans="2:25" ht="6" customHeight="1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35"/>
      <c r="Q340" s="35"/>
      <c r="R340" s="8"/>
      <c r="T340" s="18">
        <f t="shared" si="8"/>
        <v>0</v>
      </c>
      <c r="U340" s="19">
        <f t="shared" si="9"/>
        <v>0</v>
      </c>
      <c r="V340" s="9">
        <f t="shared" si="7"/>
        <v>0</v>
      </c>
      <c r="W340" s="19">
        <f t="shared" si="10"/>
        <v>0</v>
      </c>
    </row>
    <row r="341" spans="2:25" ht="15.6" customHeight="1">
      <c r="B341" s="8"/>
      <c r="C341" s="63" t="s">
        <v>112</v>
      </c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7">
        <f>W341</f>
        <v>0</v>
      </c>
      <c r="Q341" s="67"/>
      <c r="R341" s="8"/>
      <c r="S341" s="21">
        <f>IF(AD16&gt;0,(P135/10)*0.5,0)</f>
        <v>0</v>
      </c>
      <c r="T341" s="18">
        <f t="shared" si="8"/>
        <v>0</v>
      </c>
      <c r="U341" s="19">
        <f t="shared" si="9"/>
        <v>0</v>
      </c>
      <c r="V341" s="9">
        <f t="shared" si="7"/>
        <v>0</v>
      </c>
      <c r="W341" s="19">
        <f t="shared" si="10"/>
        <v>0</v>
      </c>
      <c r="X341" s="22"/>
      <c r="Y341" s="22"/>
    </row>
    <row r="342" spans="2:25" ht="6" customHeight="1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35"/>
      <c r="Q342" s="35"/>
      <c r="R342" s="8"/>
      <c r="T342" s="18">
        <f t="shared" si="8"/>
        <v>0</v>
      </c>
      <c r="U342" s="19">
        <f t="shared" si="9"/>
        <v>0</v>
      </c>
      <c r="V342" s="9">
        <f t="shared" si="7"/>
        <v>0</v>
      </c>
      <c r="W342" s="19">
        <f t="shared" si="10"/>
        <v>0</v>
      </c>
    </row>
    <row r="343" spans="2:25" ht="15.6" customHeight="1">
      <c r="B343" s="8"/>
      <c r="C343" s="63" t="s">
        <v>115</v>
      </c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7">
        <f>W343</f>
        <v>0</v>
      </c>
      <c r="Q343" s="67"/>
      <c r="R343" s="8"/>
      <c r="S343" s="21">
        <f>IF(AD16&gt;0,(P137/4)*0.5,0)</f>
        <v>0</v>
      </c>
      <c r="T343" s="18">
        <f t="shared" si="8"/>
        <v>0</v>
      </c>
      <c r="U343" s="19">
        <f t="shared" si="9"/>
        <v>0</v>
      </c>
      <c r="V343" s="9">
        <f t="shared" si="7"/>
        <v>0</v>
      </c>
      <c r="W343" s="19">
        <f t="shared" si="10"/>
        <v>0</v>
      </c>
      <c r="X343" s="22"/>
      <c r="Y343" s="22"/>
    </row>
    <row r="344" spans="2:25" ht="6" customHeight="1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35"/>
      <c r="Q344" s="35"/>
      <c r="R344" s="8"/>
      <c r="T344" s="18">
        <f t="shared" si="8"/>
        <v>0</v>
      </c>
      <c r="U344" s="19">
        <f t="shared" si="9"/>
        <v>0</v>
      </c>
      <c r="V344" s="9">
        <f t="shared" si="7"/>
        <v>0</v>
      </c>
      <c r="W344" s="19">
        <f t="shared" si="10"/>
        <v>0</v>
      </c>
    </row>
    <row r="345" spans="2:25" ht="15.6" customHeight="1">
      <c r="B345" s="8"/>
      <c r="C345" s="63" t="s">
        <v>116</v>
      </c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7">
        <f>W345</f>
        <v>0</v>
      </c>
      <c r="Q345" s="67"/>
      <c r="R345" s="8"/>
      <c r="S345" s="21">
        <f>IF(AND(AD16&gt;0,P139&gt;=20),1,0)</f>
        <v>0</v>
      </c>
      <c r="T345" s="18">
        <f t="shared" si="8"/>
        <v>0</v>
      </c>
      <c r="U345" s="19">
        <f t="shared" si="9"/>
        <v>0</v>
      </c>
      <c r="V345" s="9">
        <f t="shared" si="7"/>
        <v>0</v>
      </c>
      <c r="W345" s="19">
        <f t="shared" si="10"/>
        <v>0</v>
      </c>
      <c r="X345" s="22"/>
      <c r="Y345" s="22"/>
    </row>
    <row r="346" spans="2:25" ht="6" customHeight="1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35"/>
      <c r="Q346" s="35"/>
      <c r="R346" s="8"/>
      <c r="T346" s="18">
        <f t="shared" si="8"/>
        <v>0</v>
      </c>
      <c r="U346" s="19">
        <f t="shared" si="9"/>
        <v>0</v>
      </c>
      <c r="V346" s="9">
        <f t="shared" si="7"/>
        <v>0</v>
      </c>
      <c r="W346" s="19">
        <f t="shared" si="10"/>
        <v>0</v>
      </c>
    </row>
    <row r="347" spans="2:25" ht="15.6" customHeight="1">
      <c r="B347" s="8"/>
      <c r="C347" s="63" t="s">
        <v>118</v>
      </c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7">
        <f>W347</f>
        <v>0</v>
      </c>
      <c r="Q347" s="67"/>
      <c r="R347" s="8"/>
      <c r="S347" s="21">
        <f>IF(AND(AD16&gt;0,P141="*"),1,0)</f>
        <v>0</v>
      </c>
      <c r="T347" s="18">
        <f t="shared" si="8"/>
        <v>0</v>
      </c>
      <c r="U347" s="19">
        <f t="shared" si="9"/>
        <v>0</v>
      </c>
      <c r="V347" s="9">
        <f t="shared" si="7"/>
        <v>0</v>
      </c>
      <c r="W347" s="19">
        <f t="shared" si="10"/>
        <v>0</v>
      </c>
      <c r="X347" s="22"/>
      <c r="Y347" s="22"/>
    </row>
    <row r="348" spans="2:25" ht="6" customHeight="1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35"/>
      <c r="Q348" s="35"/>
      <c r="R348" s="8"/>
      <c r="T348" s="18">
        <f t="shared" si="8"/>
        <v>0</v>
      </c>
      <c r="U348" s="19">
        <f t="shared" si="9"/>
        <v>0</v>
      </c>
      <c r="V348" s="9">
        <f t="shared" si="7"/>
        <v>0</v>
      </c>
      <c r="W348" s="19">
        <f t="shared" si="10"/>
        <v>0</v>
      </c>
    </row>
    <row r="349" spans="2:25" ht="15.6" customHeight="1">
      <c r="B349" s="8"/>
      <c r="C349" s="63" t="s">
        <v>121</v>
      </c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7">
        <f>W349</f>
        <v>0</v>
      </c>
      <c r="Q349" s="67"/>
      <c r="R349" s="8"/>
      <c r="S349" s="21">
        <f>IF(AND(AD16&gt;0,P143="*"),1,0)</f>
        <v>0</v>
      </c>
      <c r="T349" s="18">
        <f t="shared" si="8"/>
        <v>0</v>
      </c>
      <c r="U349" s="19">
        <f t="shared" si="9"/>
        <v>0</v>
      </c>
      <c r="V349" s="9">
        <f t="shared" si="7"/>
        <v>0</v>
      </c>
      <c r="W349" s="19">
        <f t="shared" si="10"/>
        <v>0</v>
      </c>
      <c r="X349" s="22"/>
      <c r="Y349" s="22"/>
    </row>
    <row r="350" spans="2:25" ht="6.6" customHeight="1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35"/>
      <c r="Q350" s="35"/>
      <c r="R350" s="8"/>
      <c r="T350" s="18">
        <f t="shared" si="8"/>
        <v>0</v>
      </c>
      <c r="U350" s="19">
        <f t="shared" si="9"/>
        <v>0</v>
      </c>
      <c r="V350" s="9">
        <f t="shared" si="7"/>
        <v>0</v>
      </c>
      <c r="W350" s="19">
        <f t="shared" si="10"/>
        <v>0</v>
      </c>
    </row>
    <row r="351" spans="2:25" ht="15.6" customHeight="1">
      <c r="B351" s="8"/>
      <c r="C351" s="63" t="s">
        <v>122</v>
      </c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7">
        <f>W351</f>
        <v>0</v>
      </c>
      <c r="Q351" s="67"/>
      <c r="R351" s="8"/>
      <c r="S351" s="21">
        <f>IF(AND(AD16&gt;0,P145="*"),1,0)</f>
        <v>0</v>
      </c>
      <c r="T351" s="18">
        <f t="shared" si="8"/>
        <v>0</v>
      </c>
      <c r="U351" s="19">
        <f t="shared" si="9"/>
        <v>0</v>
      </c>
      <c r="V351" s="9">
        <f t="shared" si="7"/>
        <v>0</v>
      </c>
      <c r="W351" s="19">
        <f t="shared" si="10"/>
        <v>0</v>
      </c>
      <c r="X351" s="22"/>
      <c r="Y351" s="22"/>
    </row>
    <row r="352" spans="2:25" ht="6.6" customHeight="1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35"/>
      <c r="Q352" s="35"/>
      <c r="R352" s="8"/>
      <c r="T352" s="18">
        <f t="shared" si="8"/>
        <v>0</v>
      </c>
      <c r="U352" s="19">
        <f t="shared" si="9"/>
        <v>0</v>
      </c>
      <c r="V352" s="9">
        <f t="shared" si="7"/>
        <v>0</v>
      </c>
      <c r="W352" s="19">
        <f t="shared" si="10"/>
        <v>0</v>
      </c>
    </row>
    <row r="353" spans="2:25" ht="15.6" customHeight="1">
      <c r="B353" s="8"/>
      <c r="C353" s="63" t="s">
        <v>124</v>
      </c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7">
        <f>W353</f>
        <v>0</v>
      </c>
      <c r="Q353" s="67"/>
      <c r="R353" s="8"/>
      <c r="S353" s="21">
        <f>IF(AND(AD16&gt;0,SUM(L54:O54)&gt;=51,SUM(L54:O54)&lt;=150),0.5,IF(AND(AD16&gt;0,SUM(L54:O54)&gt;=150),1,0))+
IF(AND(AD16&gt;0,SUM(L55:O55)&gt;=51,SUM(L55:O55)&lt;=150),0.5,IF(AND(AD16&gt;0,SUM(L55:O55)&gt;=150),1,0))+
IF(AND(AD16&gt;0,SUM(L56:O56)&gt;=51,SUM(L56:O56)&lt;=150),0.5,IF(AND(AD16&gt;0,SUM(L56:O56)&gt;=150),1,0))+
IF(AND(AD16&gt;0,SUM(L57:O57)&gt;=51,SUM(L57:O57)&lt;=150),0.5,IF(AND(AD16&gt;0,SUM(L57:O57)&gt;=150),1,0))+
IF(AND(AD16&gt;0,SUM(L58:O58)&gt;=51,SUM(L58:O58)&lt;=150),0.5,IF(AND(AD16&gt;0,SUM(L58:O58)&gt;=150),1,0))+
IF(AND(AD16&gt;0,SUM(L59:O59)&gt;=51,SUM(L59:O59)&lt;=150),0.5,IF(AND(AD16&gt;0,SUM(L59:O59)&gt;=150),1,0))+
IF(AND(AD16&gt;0,SUM(L60:O60)&gt;=51,SUM(L60:O60)&lt;=150),0.5,IF(AND(AD16&gt;0,SUM(L60:O60)&gt;=150),1,0))+
IF(AND(AD16&gt;0,SUM(L61:O61)&gt;=51,SUM(L61:O61)&lt;=150),0.5,IF(AND(AD16&gt;0,SUM(L61:O61)&gt;=150),1,0))+
IF(AND(AD16&gt;0,SUM(L62:O62)&gt;=51,SUM(L62:O62)&lt;=150),0.5,IF(AND(AD16&gt;0,SUM(L62:O62)&gt;=150),1,0))+
IF(AND(AD16&gt;0,SUM(L63:O63)&gt;=51,SUM(L63:O63)&lt;=150),0.5,IF(AND(AD16&gt;0,SUM(L63:O63)&gt;=150),1,0))</f>
        <v>0</v>
      </c>
      <c r="T353" s="18">
        <f t="shared" si="8"/>
        <v>0</v>
      </c>
      <c r="U353" s="19">
        <f t="shared" si="9"/>
        <v>0</v>
      </c>
      <c r="V353" s="9">
        <f t="shared" si="7"/>
        <v>0</v>
      </c>
      <c r="W353" s="19">
        <f t="shared" si="10"/>
        <v>0</v>
      </c>
      <c r="X353" s="22"/>
      <c r="Y353" s="22"/>
    </row>
    <row r="354" spans="2:25" ht="6" customHeight="1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35"/>
      <c r="Q354" s="35"/>
      <c r="R354" s="8"/>
      <c r="T354" s="18">
        <f t="shared" si="8"/>
        <v>0</v>
      </c>
      <c r="U354" s="19">
        <f t="shared" si="9"/>
        <v>0</v>
      </c>
      <c r="V354" s="9">
        <f t="shared" si="7"/>
        <v>0</v>
      </c>
      <c r="W354" s="19">
        <f t="shared" si="10"/>
        <v>0</v>
      </c>
    </row>
    <row r="355" spans="2:25" ht="15.6" customHeight="1">
      <c r="B355" s="8"/>
      <c r="C355" s="63" t="s">
        <v>125</v>
      </c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7">
        <f>W355</f>
        <v>0</v>
      </c>
      <c r="Q355" s="67"/>
      <c r="R355" s="8"/>
      <c r="S355" s="21">
        <f>IF(AD16&gt;0,SUM(L54:O54)/100,0)+
IF(AD16&gt;0,SUM(L55:O55)/100,0)+
IF(AD16&gt;0,SUM(L56:O56)/100,0)+
IF(AD16&gt;0,SUM(L57:O57)/100,0)+
IF(AD16&gt;0,SUM(L58:O58)/100,0)+
IF(AD16&gt;0,SUM(L59:O59)/100,0)+
IF(AD16&gt;0,SUM(L60:O60)/100,0)+
IF(AD16&gt;0,SUM(L61:O61)/100,0)+
IF(AD16&gt;0,SUM(L62:O62)/100,0)+
IF(AD16&gt;0,SUM(L63:O63)/100,0)+
IF(AND(AD16&gt;0,P149="*"),1,0)</f>
        <v>0</v>
      </c>
      <c r="T355" s="18">
        <f t="shared" si="8"/>
        <v>0</v>
      </c>
      <c r="U355" s="19">
        <f t="shared" si="9"/>
        <v>0</v>
      </c>
      <c r="V355" s="9">
        <f t="shared" si="7"/>
        <v>0</v>
      </c>
      <c r="W355" s="19">
        <f t="shared" si="10"/>
        <v>0</v>
      </c>
      <c r="X355" s="22"/>
      <c r="Y355" s="22"/>
    </row>
    <row r="356" spans="2:25" ht="6.6" customHeight="1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35"/>
      <c r="Q356" s="35"/>
      <c r="R356" s="8"/>
      <c r="T356" s="18">
        <f t="shared" si="8"/>
        <v>0</v>
      </c>
      <c r="U356" s="19">
        <f t="shared" si="9"/>
        <v>0</v>
      </c>
      <c r="V356" s="9">
        <f t="shared" si="7"/>
        <v>0</v>
      </c>
      <c r="W356" s="19">
        <f t="shared" si="10"/>
        <v>0</v>
      </c>
    </row>
    <row r="357" spans="2:25" ht="15.6" customHeight="1">
      <c r="B357" s="8"/>
      <c r="C357" s="63" t="s">
        <v>128</v>
      </c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7">
        <f>W357</f>
        <v>0</v>
      </c>
      <c r="Q357" s="67"/>
      <c r="R357" s="8"/>
      <c r="S357" s="21">
        <f>IF(AND(AD16&gt;=401,P151="*"),1,0)</f>
        <v>0</v>
      </c>
      <c r="T357" s="18">
        <f t="shared" si="8"/>
        <v>0</v>
      </c>
      <c r="U357" s="19">
        <f t="shared" si="9"/>
        <v>0</v>
      </c>
      <c r="V357" s="9">
        <f t="shared" si="7"/>
        <v>0</v>
      </c>
      <c r="W357" s="19">
        <f t="shared" si="10"/>
        <v>0</v>
      </c>
      <c r="X357" s="22"/>
      <c r="Y357" s="22"/>
    </row>
    <row r="358" spans="2:25" ht="6.6" customHeight="1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35"/>
      <c r="Q358" s="35"/>
      <c r="R358" s="8"/>
      <c r="T358" s="18">
        <f t="shared" si="8"/>
        <v>0</v>
      </c>
      <c r="U358" s="19">
        <f t="shared" si="9"/>
        <v>0</v>
      </c>
      <c r="V358" s="9">
        <f t="shared" si="7"/>
        <v>0</v>
      </c>
      <c r="W358" s="19">
        <f t="shared" si="10"/>
        <v>0</v>
      </c>
    </row>
    <row r="359" spans="2:25" ht="15.6" customHeight="1">
      <c r="B359" s="8"/>
      <c r="C359" s="63" t="s">
        <v>130</v>
      </c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7">
        <f>W359</f>
        <v>0</v>
      </c>
      <c r="Q359" s="67"/>
      <c r="R359" s="8"/>
      <c r="S359" s="21">
        <f>IF(AND(AD16&gt;=251,AD16&lt;=400,P151="*"),1,0)</f>
        <v>0</v>
      </c>
      <c r="T359" s="18">
        <f t="shared" si="8"/>
        <v>0</v>
      </c>
      <c r="U359" s="19">
        <f t="shared" si="9"/>
        <v>0</v>
      </c>
      <c r="V359" s="9">
        <f t="shared" si="7"/>
        <v>0</v>
      </c>
      <c r="W359" s="19">
        <f t="shared" si="10"/>
        <v>0</v>
      </c>
      <c r="X359" s="22"/>
      <c r="Y359" s="22"/>
    </row>
    <row r="360" spans="2:25" ht="5.45" customHeight="1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35"/>
      <c r="Q360" s="35"/>
      <c r="R360" s="8"/>
      <c r="T360" s="18">
        <f t="shared" si="8"/>
        <v>0</v>
      </c>
      <c r="U360" s="19">
        <f t="shared" si="9"/>
        <v>0</v>
      </c>
      <c r="V360" s="9">
        <f t="shared" si="7"/>
        <v>0</v>
      </c>
      <c r="W360" s="19">
        <f t="shared" si="10"/>
        <v>0</v>
      </c>
    </row>
    <row r="361" spans="2:25" ht="15.6" customHeight="1">
      <c r="B361" s="8"/>
      <c r="C361" s="63" t="s">
        <v>131</v>
      </c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7">
        <f>W361</f>
        <v>0</v>
      </c>
      <c r="Q361" s="67"/>
      <c r="R361" s="8"/>
      <c r="S361" s="21">
        <f>IF(AND(AD16&gt;0,AD16&lt;=250),2*P153,IF(AD16&gt;250,3*P153,0))+IF(AD16&gt;=700,AD16/150*P153,0)</f>
        <v>0</v>
      </c>
      <c r="T361" s="18">
        <f t="shared" si="8"/>
        <v>0</v>
      </c>
      <c r="U361" s="19">
        <f t="shared" si="9"/>
        <v>0</v>
      </c>
      <c r="V361" s="9">
        <f t="shared" si="7"/>
        <v>0</v>
      </c>
      <c r="W361" s="19">
        <f t="shared" si="10"/>
        <v>0</v>
      </c>
      <c r="X361" s="22"/>
      <c r="Y361" s="22"/>
    </row>
    <row r="362" spans="2:25" ht="4.9000000000000004" customHeight="1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35"/>
      <c r="Q362" s="35"/>
      <c r="R362" s="8"/>
      <c r="T362" s="18">
        <f t="shared" si="8"/>
        <v>0</v>
      </c>
      <c r="U362" s="19">
        <f t="shared" si="9"/>
        <v>0</v>
      </c>
      <c r="V362" s="9">
        <f t="shared" si="7"/>
        <v>0</v>
      </c>
      <c r="W362" s="19">
        <f t="shared" si="10"/>
        <v>0</v>
      </c>
    </row>
    <row r="363" spans="2:25" ht="15.6" customHeight="1">
      <c r="B363" s="8"/>
      <c r="C363" s="63" t="s">
        <v>133</v>
      </c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7">
        <f>W363</f>
        <v>0</v>
      </c>
      <c r="Q363" s="67"/>
      <c r="R363" s="8"/>
      <c r="S363" s="21">
        <f>IF(AND(AD16&gt;0,AD16&lt;=250),1*P153,IF(AND(AD16&gt;250,AD16&lt;=400),1.5*P153,IF(AD16&gt;400,2*P153,0)))+IF(AD16&gt;=700,AD16/150*P153*0.5,0)</f>
        <v>0</v>
      </c>
      <c r="T363" s="18">
        <f t="shared" si="8"/>
        <v>0</v>
      </c>
      <c r="U363" s="19">
        <f t="shared" si="9"/>
        <v>0</v>
      </c>
      <c r="V363" s="9">
        <f t="shared" si="7"/>
        <v>0</v>
      </c>
      <c r="W363" s="19">
        <f t="shared" si="10"/>
        <v>0</v>
      </c>
      <c r="X363" s="22"/>
      <c r="Y363" s="22"/>
    </row>
    <row r="364" spans="2:25" ht="7.15" customHeight="1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35"/>
      <c r="Q364" s="35"/>
      <c r="R364" s="8"/>
      <c r="T364" s="18">
        <f t="shared" si="8"/>
        <v>0</v>
      </c>
      <c r="U364" s="19">
        <f t="shared" si="9"/>
        <v>0</v>
      </c>
      <c r="V364" s="9">
        <f t="shared" si="7"/>
        <v>0</v>
      </c>
      <c r="W364" s="19">
        <f t="shared" si="10"/>
        <v>0</v>
      </c>
    </row>
    <row r="365" spans="2:25" ht="15.6" customHeight="1">
      <c r="B365" s="8"/>
      <c r="C365" s="63" t="s">
        <v>134</v>
      </c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7">
        <f>W365</f>
        <v>0</v>
      </c>
      <c r="Q365" s="67"/>
      <c r="R365" s="8"/>
      <c r="S365" s="21">
        <f>IF(AD16&gt;=250,1,0)</f>
        <v>0</v>
      </c>
      <c r="T365" s="18">
        <f t="shared" si="8"/>
        <v>0</v>
      </c>
      <c r="U365" s="19">
        <f t="shared" si="9"/>
        <v>0</v>
      </c>
      <c r="V365" s="9">
        <f t="shared" ref="V365:V390" si="11">IF(AND(U365&gt;0,U365&lt;=0.13),0,IF(AND(U365&gt;0.13,U365&lt;=0.37),0.25,IF(AND(U365&gt;0.37,U365&lt;=0.62),0.5,IF(AND(U365&gt;0.62,U365&lt;=0.87),0.75,IF(U365&gt;0.87,1,0)))))</f>
        <v>0</v>
      </c>
      <c r="W365" s="19">
        <f t="shared" si="10"/>
        <v>0</v>
      </c>
      <c r="X365" s="22"/>
      <c r="Y365" s="22"/>
    </row>
    <row r="366" spans="2:25" ht="6" customHeight="1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35"/>
      <c r="Q366" s="35"/>
      <c r="R366" s="8"/>
      <c r="T366" s="18">
        <f t="shared" ref="T366:T391" si="12">INT(S366)</f>
        <v>0</v>
      </c>
      <c r="U366" s="19">
        <f t="shared" ref="U366:U391" si="13">S366-T366</f>
        <v>0</v>
      </c>
      <c r="V366" s="9">
        <f t="shared" si="11"/>
        <v>0</v>
      </c>
      <c r="W366" s="19">
        <f t="shared" ref="W366:W391" si="14">T366+V366</f>
        <v>0</v>
      </c>
    </row>
    <row r="367" spans="2:25" ht="15.6" customHeight="1">
      <c r="B367" s="8"/>
      <c r="C367" s="63" t="s">
        <v>135</v>
      </c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7">
        <f>W367</f>
        <v>0</v>
      </c>
      <c r="Q367" s="67"/>
      <c r="R367" s="8"/>
      <c r="S367" s="21">
        <f>IF(AND(AD16&gt;0,AD16&lt;=250),0.5,IF(AD16&gt;250,1,0))</f>
        <v>0</v>
      </c>
      <c r="T367" s="18">
        <f t="shared" si="12"/>
        <v>0</v>
      </c>
      <c r="U367" s="19">
        <f t="shared" si="13"/>
        <v>0</v>
      </c>
      <c r="V367" s="9">
        <f t="shared" si="11"/>
        <v>0</v>
      </c>
      <c r="W367" s="19">
        <f t="shared" si="14"/>
        <v>0</v>
      </c>
      <c r="X367" s="22"/>
      <c r="Y367" s="22"/>
    </row>
    <row r="368" spans="2:25" ht="6" customHeight="1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35"/>
      <c r="Q368" s="35"/>
      <c r="R368" s="8"/>
      <c r="T368" s="18">
        <f t="shared" si="12"/>
        <v>0</v>
      </c>
      <c r="U368" s="19">
        <f t="shared" si="13"/>
        <v>0</v>
      </c>
      <c r="V368" s="9">
        <f t="shared" si="11"/>
        <v>0</v>
      </c>
      <c r="W368" s="19">
        <f t="shared" si="14"/>
        <v>0</v>
      </c>
    </row>
    <row r="369" spans="2:36" ht="15.6" customHeight="1">
      <c r="B369" s="8"/>
      <c r="C369" s="63" t="s">
        <v>136</v>
      </c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7">
        <f>W369</f>
        <v>0</v>
      </c>
      <c r="Q369" s="67"/>
      <c r="R369" s="8"/>
      <c r="S369" s="21">
        <f>IF(AD16&gt;0,P155/600,0)+IF(AD16&gt;0,P157/500,0)</f>
        <v>0</v>
      </c>
      <c r="T369" s="18">
        <f t="shared" si="12"/>
        <v>0</v>
      </c>
      <c r="U369" s="19">
        <f t="shared" si="13"/>
        <v>0</v>
      </c>
      <c r="V369" s="9">
        <f t="shared" si="11"/>
        <v>0</v>
      </c>
      <c r="W369" s="19">
        <f t="shared" si="14"/>
        <v>0</v>
      </c>
      <c r="X369" s="22"/>
      <c r="Y369" s="22"/>
    </row>
    <row r="370" spans="2:36" ht="6" customHeight="1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35"/>
      <c r="Q370" s="35"/>
      <c r="R370" s="8"/>
      <c r="T370" s="18">
        <f t="shared" si="12"/>
        <v>0</v>
      </c>
      <c r="U370" s="19">
        <f t="shared" si="13"/>
        <v>0</v>
      </c>
      <c r="V370" s="9">
        <f t="shared" si="11"/>
        <v>0</v>
      </c>
      <c r="W370" s="19">
        <f t="shared" si="14"/>
        <v>0</v>
      </c>
    </row>
    <row r="371" spans="2:36" ht="15.6" customHeight="1">
      <c r="B371" s="8"/>
      <c r="C371" s="63" t="s">
        <v>139</v>
      </c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7">
        <f>W371</f>
        <v>0</v>
      </c>
      <c r="Q371" s="67"/>
      <c r="R371" s="8"/>
      <c r="S371" s="21">
        <f>IF(AND(AD16&gt;0,P54="*"),1,0)+IF(AND(AD16&gt;0,Q55="*"),1,0)+IF(AND(AD16&gt;0,Q56="*"),1,0)+IF(AND(AD16&gt;0,Q57="*"),1,0)+IF(AND(AD16&gt;0,Q58="*"),1,0)+IF(AND(AD16&gt;0,Q59="*"),1,0)+IF(AND(AD16&gt;0,Q60="*"),1,0)+IF(AND(AD16&gt;0,Q61="*"),1,0)+IF(AND(AD16&gt;0,Q62="*"),1,0)+IF(AND(AD16&gt;0,Q63="*"),1,0)</f>
        <v>0</v>
      </c>
      <c r="T371" s="18">
        <f t="shared" si="12"/>
        <v>0</v>
      </c>
      <c r="U371" s="19">
        <f t="shared" si="13"/>
        <v>0</v>
      </c>
      <c r="V371" s="9">
        <f t="shared" si="11"/>
        <v>0</v>
      </c>
      <c r="W371" s="19">
        <f t="shared" si="14"/>
        <v>0</v>
      </c>
      <c r="X371" s="22"/>
      <c r="Y371" s="22"/>
    </row>
    <row r="372" spans="2:36" ht="6" customHeight="1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35"/>
      <c r="Q372" s="35"/>
      <c r="R372" s="8"/>
      <c r="T372" s="18">
        <f t="shared" si="12"/>
        <v>0</v>
      </c>
      <c r="U372" s="19">
        <f t="shared" si="13"/>
        <v>0</v>
      </c>
      <c r="V372" s="9">
        <f t="shared" si="11"/>
        <v>0</v>
      </c>
      <c r="W372" s="19">
        <f t="shared" si="14"/>
        <v>0</v>
      </c>
    </row>
    <row r="373" spans="2:36" ht="15.6" customHeight="1">
      <c r="B373" s="8"/>
      <c r="C373" s="63" t="s">
        <v>142</v>
      </c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7">
        <f>W373</f>
        <v>0</v>
      </c>
      <c r="Q373" s="67"/>
      <c r="R373" s="8"/>
      <c r="S373" s="21">
        <f>IF(AND(AD16&gt;=0,P161&gt;0,P161&lt;=220),1,0)*Q161+IF(AND(AD16&gt;=0,P161&gt;=221,P161&lt;=320),1.2,0)*Q161+IF(AND(AD16&gt;=0,P161&gt;=321,P161&lt;=420),1.4,0)*Q161+IF(AND(AD16&gt;=0,P161&gt;=421,P161&lt;=520),1.6,0)*Q161+IF(AND(AD16&gt;=0,P161&gt;=521,P161&lt;=620),1.8,0)*Q161+IF(AND(AD16&gt;=0,P161&gt;=621,P161&lt;=720),2,0)*Q161+IF(AND(AD16&gt;=0,P161&gt;=721,P161&lt;=820),2.2,0)*Q161+IF(AND(AD16&gt;=0,P161&gt;=821,P161&lt;=920),2.4,0)*Q161+
IF(AND(AD16&gt;=0,P161&gt;=921,P161&lt;=1020),2.6,0)*Q161+IF(AND(AD16&gt;=0,P161&gt;=1021,P161&lt;=1120),2.8,0)*Q161+
IF(AND(AD16&gt;=0,P162&gt;0,P162&lt;=220),1,0)*Q162+IF(AND(AD16&gt;=0,P162&gt;=221,P162&lt;=320),1.2,0)*Q162+IF(AND(AD16&gt;=0,P162&gt;=321,P162&lt;=420),1.4,0)*Q162+IF(AND(AD16&gt;=0,P162&gt;=421,P162&lt;=520),1.6,0)*Q162+IF(AND(AD16&gt;=0,P162&gt;=521,P162&lt;=620),1.8,0)*Q162+IF(AND(AD16&gt;=0,P162&gt;=621,P162&lt;=720),2,0)*Q162+IF(AND(AD16&gt;=0,P162&gt;=721,P162&lt;=820),2.2,0)*Q162+IF(AND(AD16&gt;=0,P162&gt;=821,P162&lt;=920),2.4,0)*Q162+
IF(AND(AD16&gt;=0,P162&gt;=921,P162&lt;=1020),2.6,0)*Q162+IF(AND(AD16&gt;=0,P162&gt;=1021,P162&lt;=1120),2.8,0)*Q162+
IF(AND(AD16&gt;=0,P163&gt;0,P163&lt;=220),1,0)*Q163+IF(AND(AD16&gt;=0,P163&gt;=221,P163&lt;=320),1.2,0)*Q163+IF(AND(AD16&gt;=0,P163&gt;=321,P163&lt;=420),1.4,0)*Q163+IF(AND(AD16&gt;=0,P163&gt;=421,P163&lt;=520),1.6,0)*Q163+IF(AND(AD16&gt;=0,P163&gt;=521,P163&lt;=620),1.8,0)*Q163+IF(AND(AD16&gt;=0,P163&gt;=621,P163&lt;=720),2,0)*Q163+IF(AND(AD16&gt;=0,P163&gt;=721,P163&lt;=820),2.2,0)*Q163+IF(AND(AD16&gt;=0,P163&gt;=821,P163&lt;=920),2.4,0)*Q163+
IF(AND(AD16&gt;=0,P163&gt;=921,P163&lt;=1020),2.6,0)*Q163+IF(AND(AD16&gt;=0,P163&gt;=1021,P163&lt;=1120),2.8,0)*Q163+
IF(AND(AD16&gt;=0,P164&gt;0,P164&lt;=220),1,0)*Q164+IF(AND(AD16&gt;=0,P164&gt;=221,P164&lt;=320),1.2,0)*Q164+IF(AND(AD16&gt;=0,P164&gt;=321,P164&lt;=420),1.4,0)*Q164+IF(AND(AD16&gt;=0,P164&gt;=421,P164&lt;=520),1.6,0)*Q164+IF(AND(AD16&gt;=0,P164&gt;=521,P164&lt;=620),1.8,0)*Q164+IF(AND(AD16&gt;=0,P164&gt;=621,P164&lt;=720),2,0)*Q164+IF(AND(AD16&gt;=0,P164&gt;=721,P164&lt;=820),2.2,0)*Q164+IF(AND(AD16&gt;=0,P164&gt;=821,P164&lt;=920),2.4,0)*Q164+
IF(AND(AD16&gt;=0,P164&gt;=921,P164&lt;=1020),2.6,0)*Q164+IF(AND(AD16&gt;=0,P164&gt;=1021,P164&lt;=1120),2.8,0)*Q164+
IF(AND(AD16&gt;=0,P167&gt;0,P167&lt;=220),1,0)*Q167+IF(AND(AD16&gt;=0,P167&gt;=221,P167&lt;=320),1.2,0)*Q167+IF(AND(AD16&gt;=0,P167&gt;=321,P167&lt;=420),1.4,0)*Q167+IF(AND(AD16&gt;=0,P167&gt;=421,P167&lt;=520),1.6,0)*Q167+IF(AND(AD16&gt;=0,P167&gt;=521,P167&lt;=620),1.8,0)*Q167+IF(AND(AD16&gt;=0,P167&gt;=621,P167&lt;=720),2,0)*Q167+IF(AND(AD16&gt;=0,P167&gt;=721,P167&lt;=820),2.2,0)*Q167+IF(AND(AD16&gt;=0,P167&gt;=821,P167&lt;=920),2.4,0)*Q167+
IF(AND(AD16&gt;=0,P167&gt;=921,P167&lt;=1020),2.6,0)*Q167+IF(AND(AD16&gt;=0,P167&gt;=1021,P167&lt;=1120),2.8,0)*Q167+
IF(AND(AD16&gt;=0,P168&gt;0,P168&lt;=220),1,0)*Q168+IF(AND(AD16&gt;=0,P168&gt;=221,P168&lt;=320),1.2,0)*Q168+IF(AND(AD16&gt;=0,P168&gt;=321,P168&lt;=420),1.4,0)*Q168+IF(AND(AD16&gt;=0,P168&gt;=421,P168&lt;=520),1.6,0)*Q168+IF(AND(AD16&gt;=0,P168&gt;=521,P168&lt;=620),1.8,0)*Q168+IF(AND(AD16&gt;=0,P168&gt;=621,P168&lt;=720),2,0)*Q168+IF(AND(AD16&gt;=0,P168&gt;=721,P168&lt;=820),2.2,0)*Q168+IF(AND(AD16&gt;=0,P168&gt;=821,P168&lt;=920),2.4,0)*Q168+
IF(AND(AD16&gt;=0,P168&gt;=921,P168&lt;=1020),2.6,0)*Q168+IF(AND(AD16&gt;=0,P168&gt;=1021,P168&lt;=1120),2.8,0)*Q168+
IF(AND(AD16&gt;=0,P165&gt;0,P165&lt;=220),1,0)*Q165+IF(AND(AD16&gt;=0,P165&gt;=221,P165&lt;=320),1.2,0)*Q165+IF(AND(AD16&gt;=0,P165&gt;=321,P165&lt;=420),1.4,0)*Q165+IF(AND(AD16&gt;=0,P165&gt;=421,P165&lt;=520),1.6,0)*Q165+IF(AND(AD16&gt;=0,P165&gt;=521,P165&lt;=620),1.8,0)*Q165+IF(AND(AD16&gt;=0,P165&gt;=621,P165&lt;=720),2,0)*Q165+IF(AND(AD16&gt;=0,P165&gt;=721,P165&lt;=820),2.2,0)*Q165+IF(AND(AD16&gt;=0,P165&gt;=821,P165&lt;=920),2.4,0)*Q165+
IF(AND(AD16&gt;=0,P165&gt;=921,P165&lt;=1020),2.6,0)*Q165+IF(AND(AD16&gt;=0,P165&gt;=1021,P165&lt;=1120),2.8,0)*Q165+
IF(AND(AD16&gt;=0,P166&gt;0,P166&lt;=220),1,0)*Q166+IF(AND(AD16&gt;=0,P166&gt;=221,P166&lt;=320),1.2,0)*Q166+IF(AND(AD16&gt;=0,P166&gt;=321,P166&lt;=420),1.4,0)*Q166+IF(AND(AD16&gt;=0,P166&gt;=421,P166&lt;=520),1.6,0)*Q166+IF(AND(AD16&gt;=0,P166&gt;=521,P166&lt;=620),1.8,0)*Q166+IF(AND(AD16&gt;=0,P166&gt;=621,P166&lt;=720),2,0)*Q166+IF(AND(AD16&gt;=0,P166&gt;=721,P166&lt;=820),2.2,0)*Q166+IF(AND(AD16&gt;=0,P166&gt;=821,P166&lt;=920),2.4,0)*Q166+
IF(AND(AD16&gt;=0,P166&gt;=921,P166&lt;=1020),2.6,0)*Q166+IF(AND(AD16&gt;=0,P166&gt;=1021,P166&lt;=1120),2.8,0)*Q166+
IF(AND(AD16&gt;=0,P169&gt;0,P169&lt;=220),1,0)*Q169+IF(AND(AD16&gt;=0,P169&gt;=221,P169&lt;=320),1.2,0)*Q169+IF(AND(AD16&gt;=0,P169&gt;=321,P169&lt;=420),1.4,0)*Q169+IF(AND(AD16&gt;=0,P169&gt;=421,P169&lt;=520),1.6,0)*Q169+IF(AND(AD16&gt;=0,P169&gt;=521,P169&lt;=620),1.8,0)*Q169+IF(AND(AD16&gt;=0,P169&gt;=621,P169&lt;=720),2,0)*Q169+IF(AND(AD16&gt;=0,P169&gt;=721,P169&lt;=820),2.2,0)*Q169+IF(AND(AD16&gt;=0,P169&gt;=821,P169&lt;=920),2.4,0)*Q169+
IF(AND(AD16&gt;=0,P169&gt;=921,P169&lt;=1020),2.6,0)*Q169+IF(AND(AD16&gt;=0,P169&gt;=1021,P169&lt;=1120),2.8,0)*Q169</f>
        <v>0</v>
      </c>
      <c r="T373" s="18">
        <f t="shared" si="12"/>
        <v>0</v>
      </c>
      <c r="U373" s="19">
        <f t="shared" si="13"/>
        <v>0</v>
      </c>
      <c r="V373" s="9">
        <f t="shared" si="11"/>
        <v>0</v>
      </c>
      <c r="W373" s="19">
        <f t="shared" si="14"/>
        <v>0</v>
      </c>
      <c r="X373" s="22"/>
      <c r="Y373" s="22"/>
    </row>
    <row r="374" spans="2:36" ht="6.6" customHeight="1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35"/>
      <c r="Q374" s="35"/>
      <c r="R374" s="8"/>
      <c r="T374" s="18">
        <f t="shared" si="12"/>
        <v>0</v>
      </c>
      <c r="U374" s="19">
        <f t="shared" si="13"/>
        <v>0</v>
      </c>
      <c r="V374" s="9">
        <f t="shared" si="11"/>
        <v>0</v>
      </c>
      <c r="W374" s="19">
        <f t="shared" si="14"/>
        <v>0</v>
      </c>
    </row>
    <row r="375" spans="2:36" ht="15.6" customHeight="1">
      <c r="B375" s="8"/>
      <c r="C375" s="63" t="s">
        <v>145</v>
      </c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7">
        <f>W375</f>
        <v>0</v>
      </c>
      <c r="Q375" s="67"/>
      <c r="R375" s="8"/>
      <c r="S375" s="21">
        <f>IF(AD16&gt;0,P174,0)+IF(AD16&gt;0,P175,0)+IF(AD16&gt;0,P176,0)+IF(AD16&gt;0,P177,0)+IF(AD16&gt;0,P178,0)+IF(AD16&gt;0,P179,0)+IF(AD16&gt;0,P180,0)+IF(AD16&gt;0,P181,0)+IF(AD16&gt;0,P182,0)+IF(AD16&gt;0,P183,0)</f>
        <v>0</v>
      </c>
      <c r="T375" s="18">
        <f t="shared" si="12"/>
        <v>0</v>
      </c>
      <c r="U375" s="19">
        <f t="shared" si="13"/>
        <v>0</v>
      </c>
      <c r="V375" s="9">
        <f t="shared" si="11"/>
        <v>0</v>
      </c>
      <c r="W375" s="19">
        <f t="shared" si="14"/>
        <v>0</v>
      </c>
      <c r="X375" s="22"/>
      <c r="Y375" s="22"/>
    </row>
    <row r="376" spans="2:36" ht="5.45" customHeight="1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T376" s="18">
        <f t="shared" si="12"/>
        <v>0</v>
      </c>
      <c r="U376" s="19">
        <f t="shared" si="13"/>
        <v>0</v>
      </c>
      <c r="V376" s="9">
        <f t="shared" si="11"/>
        <v>0</v>
      </c>
      <c r="W376" s="19">
        <f t="shared" si="14"/>
        <v>0</v>
      </c>
    </row>
    <row r="377" spans="2:36" ht="66" customHeight="1">
      <c r="B377" s="8"/>
      <c r="C377" s="119" t="s">
        <v>146</v>
      </c>
      <c r="D377" s="119"/>
      <c r="E377" s="119"/>
      <c r="F377" s="119"/>
      <c r="G377" s="119"/>
      <c r="H377" s="120" t="s">
        <v>147</v>
      </c>
      <c r="I377" s="120"/>
      <c r="J377" s="120"/>
      <c r="K377" s="120"/>
      <c r="L377" s="120"/>
      <c r="M377" s="120"/>
      <c r="N377" s="120"/>
      <c r="O377" s="120"/>
      <c r="P377" s="120"/>
      <c r="Q377" s="120"/>
      <c r="R377" s="8"/>
      <c r="T377" s="18">
        <f t="shared" si="12"/>
        <v>0</v>
      </c>
      <c r="U377" s="19">
        <f t="shared" si="13"/>
        <v>0</v>
      </c>
      <c r="V377" s="9">
        <f t="shared" si="11"/>
        <v>0</v>
      </c>
      <c r="W377" s="19">
        <f t="shared" si="14"/>
        <v>0</v>
      </c>
    </row>
    <row r="378" spans="2:36" ht="5.45" customHeight="1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T378" s="18">
        <f t="shared" si="12"/>
        <v>0</v>
      </c>
      <c r="U378" s="19">
        <f t="shared" si="13"/>
        <v>0</v>
      </c>
      <c r="V378" s="9">
        <f t="shared" si="11"/>
        <v>0</v>
      </c>
      <c r="W378" s="19">
        <f t="shared" si="14"/>
        <v>0</v>
      </c>
    </row>
    <row r="379" spans="2:36" ht="15.6" customHeight="1">
      <c r="B379" s="8"/>
      <c r="C379" s="63" t="s">
        <v>149</v>
      </c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7">
        <f>W379</f>
        <v>0</v>
      </c>
      <c r="Q379" s="67"/>
      <c r="R379" s="8"/>
      <c r="S379" s="21">
        <f>IF($AD$16&gt;0,P187,0)+IF($AD$16&gt;0,P188,0)+IF($AD$16&gt;0,P189,0)+IF($AD$16&gt;0,P191,0)+IF($AD$16&gt;0,P190,0)+IF($AD$16&gt;0,P192,0)+IF($AD$16&gt;0,P193,0)+IF($AD$16&gt;0,P194,0)+IF($AD$16&gt;0,P195,0)+IF($AD$16&gt;0,P196,0)</f>
        <v>0</v>
      </c>
      <c r="T379" s="18">
        <f t="shared" si="12"/>
        <v>0</v>
      </c>
      <c r="U379" s="19">
        <f t="shared" si="13"/>
        <v>0</v>
      </c>
      <c r="V379" s="9">
        <f t="shared" si="11"/>
        <v>0</v>
      </c>
      <c r="W379" s="19">
        <f t="shared" si="14"/>
        <v>0</v>
      </c>
      <c r="X379" s="22"/>
      <c r="Y379" s="22"/>
    </row>
    <row r="380" spans="2:36" ht="6" customHeight="1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35"/>
      <c r="Q380" s="35"/>
      <c r="R380" s="8"/>
      <c r="T380" s="18">
        <f t="shared" si="12"/>
        <v>0</v>
      </c>
      <c r="U380" s="19">
        <f t="shared" si="13"/>
        <v>0</v>
      </c>
      <c r="V380" s="9">
        <f t="shared" si="11"/>
        <v>0</v>
      </c>
      <c r="W380" s="19">
        <f t="shared" si="14"/>
        <v>0</v>
      </c>
    </row>
    <row r="381" spans="2:36" ht="15.6" customHeight="1">
      <c r="B381" s="8"/>
      <c r="C381" s="63" t="s">
        <v>157</v>
      </c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7">
        <f>W381</f>
        <v>0</v>
      </c>
      <c r="Q381" s="67"/>
      <c r="R381" s="8"/>
      <c r="S381" s="21">
        <f>IF(AND(AD16&gt;=0,$P$198="Летний"),P200/AD200,0)+IF(AND(AD16&gt;=0,$P$198="Летний"),P202/AD202,0)+IF(AND(AD16&gt;=0,$P$198="Летний"),P204/AD204,0)+IF(AND(AD16&gt;=0,$P$198="Летний"),P206/AD206,0)+
IF(AND(AD16&gt;=0,$P$198="Зимний"),P200/AE200,0)+IF(AND(AD16&gt;=0,$P$198="Зимний"),P202/AE202,0)+IF(AND(AD16&gt;=0,$P$198="Зимний"),P204/AE204,0)+IF(AND(AD16&gt;=0,$P$198="Зимний"),P206/AE206,0)</f>
        <v>0</v>
      </c>
      <c r="T381" s="18">
        <f t="shared" si="12"/>
        <v>0</v>
      </c>
      <c r="U381" s="19">
        <f t="shared" si="13"/>
        <v>0</v>
      </c>
      <c r="V381" s="9">
        <f t="shared" si="11"/>
        <v>0</v>
      </c>
      <c r="W381" s="19">
        <f t="shared" si="14"/>
        <v>0</v>
      </c>
      <c r="X381" s="22"/>
      <c r="Y381" s="22"/>
    </row>
    <row r="382" spans="2:36" ht="7.15" customHeight="1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35"/>
      <c r="Q382" s="35"/>
      <c r="R382" s="8"/>
      <c r="T382" s="18">
        <f t="shared" si="12"/>
        <v>0</v>
      </c>
      <c r="U382" s="19">
        <f t="shared" si="13"/>
        <v>0</v>
      </c>
      <c r="V382" s="9">
        <f t="shared" si="11"/>
        <v>0</v>
      </c>
      <c r="W382" s="19">
        <f t="shared" si="14"/>
        <v>0</v>
      </c>
    </row>
    <row r="383" spans="2:36" ht="15.6" customHeight="1">
      <c r="B383" s="8"/>
      <c r="C383" s="63" t="s">
        <v>158</v>
      </c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7">
        <f>W383</f>
        <v>0</v>
      </c>
      <c r="Q383" s="67"/>
      <c r="R383" s="8"/>
      <c r="S383" s="21">
        <f>IF($AD$16&gt;0,P210,0)+IF($AD$16&gt;0,P211,0)+IF($AD$16&gt;0,P212,0)+IF($AD$16&gt;0,P214,0)+IF($AD$16&gt;0,P213,0)+IF($AD$16&gt;0,P215,0)+IF($AD$16&gt;0,P216,0)+IF($AD$16&gt;0,P217,0)+IF($AD$16&gt;0,P218,0)+IF($AD$16&gt;0,P219,0)</f>
        <v>0</v>
      </c>
      <c r="T383" s="18">
        <f t="shared" si="12"/>
        <v>0</v>
      </c>
      <c r="U383" s="19">
        <f t="shared" si="13"/>
        <v>0</v>
      </c>
      <c r="V383" s="9">
        <f t="shared" si="11"/>
        <v>0</v>
      </c>
      <c r="W383" s="19">
        <f t="shared" si="14"/>
        <v>0</v>
      </c>
      <c r="X383" s="22"/>
      <c r="Y383" s="22"/>
      <c r="AB383" s="9" t="str">
        <f>CONCATENATE(P221,P223)</f>
        <v/>
      </c>
      <c r="AJ383" s="9" t="str">
        <f>CONCATENATE(P225,P227)</f>
        <v/>
      </c>
    </row>
    <row r="384" spans="2:36" ht="5.45" customHeight="1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35"/>
      <c r="Q384" s="35"/>
      <c r="R384" s="8"/>
      <c r="T384" s="18">
        <f t="shared" si="12"/>
        <v>0</v>
      </c>
      <c r="U384" s="19">
        <f t="shared" si="13"/>
        <v>0</v>
      </c>
      <c r="V384" s="9">
        <f t="shared" si="11"/>
        <v>0</v>
      </c>
      <c r="W384" s="19">
        <f t="shared" si="14"/>
        <v>0</v>
      </c>
    </row>
    <row r="385" spans="2:60" ht="15.6" customHeight="1">
      <c r="B385" s="8"/>
      <c r="C385" s="63" t="s">
        <v>160</v>
      </c>
      <c r="D385" s="63"/>
      <c r="E385" s="63"/>
      <c r="F385" s="63"/>
      <c r="G385" s="63"/>
      <c r="H385" s="64" t="str">
        <f>IF(P385=0,"Проверьте данные в строках 221 и 223","")</f>
        <v>Проверьте данные в строках 221 и 223</v>
      </c>
      <c r="I385" s="64"/>
      <c r="J385" s="64"/>
      <c r="K385" s="64"/>
      <c r="L385" s="64"/>
      <c r="M385" s="64"/>
      <c r="N385" s="64"/>
      <c r="O385" s="64"/>
      <c r="P385" s="67">
        <f>W385</f>
        <v>0</v>
      </c>
      <c r="Q385" s="67"/>
      <c r="R385" s="8"/>
      <c r="S385" s="21">
        <f>IFERROR(VLOOKUP(AB383,AB385:AE394,4,FALSE),0)</f>
        <v>0</v>
      </c>
      <c r="T385" s="18">
        <f t="shared" si="12"/>
        <v>0</v>
      </c>
      <c r="U385" s="19">
        <f t="shared" si="13"/>
        <v>0</v>
      </c>
      <c r="V385" s="9">
        <f t="shared" si="11"/>
        <v>0</v>
      </c>
      <c r="W385" s="19">
        <f t="shared" si="14"/>
        <v>0</v>
      </c>
      <c r="X385" s="22"/>
      <c r="Y385" s="22"/>
      <c r="AB385" s="23" t="str">
        <f>CONCATENATE(AC385,AD385)</f>
        <v>10,1–4</v>
      </c>
      <c r="AC385" s="24">
        <v>1</v>
      </c>
      <c r="AD385" s="15" t="s">
        <v>165</v>
      </c>
      <c r="AE385" s="11">
        <v>0.8</v>
      </c>
      <c r="AF385" s="46">
        <v>1</v>
      </c>
      <c r="AG385" s="15" t="s">
        <v>165</v>
      </c>
      <c r="AH385" s="9" t="s">
        <v>173</v>
      </c>
      <c r="AI385" s="9" t="s">
        <v>174</v>
      </c>
      <c r="AJ385" s="9" t="str">
        <f>CONCATENATE(AK385,AL385)</f>
        <v>До 5До 1</v>
      </c>
      <c r="AK385" s="9" t="s">
        <v>173</v>
      </c>
      <c r="AL385" s="9" t="s">
        <v>174</v>
      </c>
      <c r="AM385" s="9">
        <v>0.4</v>
      </c>
    </row>
    <row r="386" spans="2:60" ht="6.6" customHeight="1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35"/>
      <c r="Q386" s="35"/>
      <c r="R386" s="8"/>
      <c r="T386" s="18">
        <f t="shared" si="12"/>
        <v>0</v>
      </c>
      <c r="U386" s="19">
        <f t="shared" si="13"/>
        <v>0</v>
      </c>
      <c r="V386" s="9">
        <f t="shared" si="11"/>
        <v>0</v>
      </c>
      <c r="W386" s="19">
        <f t="shared" si="14"/>
        <v>0</v>
      </c>
      <c r="AB386" s="23" t="str">
        <f t="shared" ref="AB386:AB393" si="15">CONCATENATE(AC386,AD386)</f>
        <v>14,1–20</v>
      </c>
      <c r="AC386" s="24">
        <v>1</v>
      </c>
      <c r="AD386" s="15" t="s">
        <v>166</v>
      </c>
      <c r="AE386" s="11">
        <v>1</v>
      </c>
      <c r="AF386" s="46">
        <v>2</v>
      </c>
      <c r="AG386" s="15" t="s">
        <v>166</v>
      </c>
      <c r="AH386" s="9" t="s">
        <v>175</v>
      </c>
      <c r="AI386" s="9" t="s">
        <v>176</v>
      </c>
      <c r="AJ386" s="9" t="str">
        <f t="shared" ref="AJ386:AJ388" si="16">CONCATENATE(AK386,AL386)</f>
        <v>До 5До 2</v>
      </c>
      <c r="AK386" s="9" t="s">
        <v>173</v>
      </c>
      <c r="AL386" s="9" t="s">
        <v>176</v>
      </c>
      <c r="AM386" s="9">
        <v>0.5</v>
      </c>
    </row>
    <row r="387" spans="2:60" ht="15.6" customHeight="1">
      <c r="B387" s="8"/>
      <c r="C387" s="63" t="s">
        <v>172</v>
      </c>
      <c r="D387" s="63"/>
      <c r="E387" s="63"/>
      <c r="F387" s="63"/>
      <c r="G387" s="63"/>
      <c r="H387" s="64" t="str">
        <f>IF(P387=0,"Проверьте данные в строках 225 и 227","")</f>
        <v>Проверьте данные в строках 225 и 227</v>
      </c>
      <c r="I387" s="64"/>
      <c r="J387" s="64"/>
      <c r="K387" s="64"/>
      <c r="L387" s="64"/>
      <c r="M387" s="64"/>
      <c r="N387" s="64"/>
      <c r="O387" s="64"/>
      <c r="P387" s="67">
        <f>W387</f>
        <v>0</v>
      </c>
      <c r="Q387" s="67"/>
      <c r="R387" s="8"/>
      <c r="S387" s="21">
        <f>IFERROR(VLOOKUP(AJ383,AJ385:AM388,4,FALSE),0)</f>
        <v>0</v>
      </c>
      <c r="T387" s="18">
        <f t="shared" si="12"/>
        <v>0</v>
      </c>
      <c r="U387" s="19">
        <f t="shared" si="13"/>
        <v>0</v>
      </c>
      <c r="V387" s="9">
        <f t="shared" si="11"/>
        <v>0</v>
      </c>
      <c r="W387" s="19">
        <f t="shared" si="14"/>
        <v>0</v>
      </c>
      <c r="X387" s="22"/>
      <c r="Y387" s="22"/>
      <c r="AB387" s="23" t="str">
        <f t="shared" si="15"/>
        <v>120,1–150</v>
      </c>
      <c r="AC387" s="24">
        <v>1</v>
      </c>
      <c r="AD387" s="15" t="s">
        <v>167</v>
      </c>
      <c r="AE387" s="11">
        <v>1</v>
      </c>
      <c r="AF387" s="46">
        <v>3</v>
      </c>
      <c r="AG387" s="15" t="s">
        <v>167</v>
      </c>
      <c r="AJ387" s="9" t="str">
        <f t="shared" si="16"/>
        <v>До 10До 1</v>
      </c>
      <c r="AK387" s="9" t="s">
        <v>175</v>
      </c>
      <c r="AL387" s="9" t="s">
        <v>174</v>
      </c>
      <c r="AM387" s="9">
        <v>0.7</v>
      </c>
    </row>
    <row r="388" spans="2:60" ht="5.45" customHeight="1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35"/>
      <c r="Q388" s="35"/>
      <c r="R388" s="8"/>
      <c r="T388" s="18">
        <f t="shared" si="12"/>
        <v>0</v>
      </c>
      <c r="U388" s="19">
        <f t="shared" si="13"/>
        <v>0</v>
      </c>
      <c r="V388" s="9">
        <f t="shared" si="11"/>
        <v>0</v>
      </c>
      <c r="W388" s="19">
        <f t="shared" si="14"/>
        <v>0</v>
      </c>
      <c r="AB388" s="23" t="str">
        <f t="shared" si="15"/>
        <v>20,1–4</v>
      </c>
      <c r="AC388" s="24">
        <v>2</v>
      </c>
      <c r="AD388" s="15" t="s">
        <v>165</v>
      </c>
      <c r="AE388" s="11">
        <v>0.9</v>
      </c>
      <c r="AF388" s="46">
        <v>4</v>
      </c>
      <c r="AJ388" s="9" t="str">
        <f t="shared" si="16"/>
        <v>До 10До 2</v>
      </c>
      <c r="AK388" s="9" t="s">
        <v>175</v>
      </c>
      <c r="AL388" s="9" t="s">
        <v>176</v>
      </c>
      <c r="AM388" s="9">
        <v>0.9</v>
      </c>
    </row>
    <row r="389" spans="2:60" ht="80.45" customHeight="1">
      <c r="B389" s="8"/>
      <c r="C389" s="63" t="s">
        <v>177</v>
      </c>
      <c r="D389" s="63"/>
      <c r="E389" s="63"/>
      <c r="F389" s="63"/>
      <c r="G389" s="63"/>
      <c r="H389" s="64" t="str">
        <f>IF(P389=0,"Проверьте данные в строках 229 и 231","")</f>
        <v>Проверьте данные в строках 229 и 231</v>
      </c>
      <c r="I389" s="64"/>
      <c r="J389" s="64"/>
      <c r="K389" s="64"/>
      <c r="L389" s="64"/>
      <c r="M389" s="64"/>
      <c r="N389" s="64"/>
      <c r="O389" s="64"/>
      <c r="P389" s="67">
        <f>W389</f>
        <v>0</v>
      </c>
      <c r="Q389" s="67"/>
      <c r="R389" s="8"/>
      <c r="S389" s="50">
        <f>IFERROR(VLOOKUP(AC396,AC397:AF601,4,FALSE),0)</f>
        <v>0</v>
      </c>
      <c r="T389" s="18">
        <f t="shared" si="12"/>
        <v>0</v>
      </c>
      <c r="U389" s="19">
        <f t="shared" si="13"/>
        <v>0</v>
      </c>
      <c r="V389" s="9">
        <f t="shared" si="11"/>
        <v>0</v>
      </c>
      <c r="W389" s="19">
        <f t="shared" si="14"/>
        <v>0</v>
      </c>
      <c r="X389" s="22"/>
      <c r="Y389" s="22"/>
      <c r="AB389" s="23" t="str">
        <f t="shared" si="15"/>
        <v>24,1–20</v>
      </c>
      <c r="AC389" s="24">
        <v>2</v>
      </c>
      <c r="AD389" s="15" t="s">
        <v>166</v>
      </c>
      <c r="AE389" s="11">
        <v>1.4</v>
      </c>
      <c r="AF389" s="46" t="s">
        <v>168</v>
      </c>
    </row>
    <row r="390" spans="2:60" ht="6" customHeight="1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35"/>
      <c r="Q390" s="35"/>
      <c r="R390" s="8"/>
      <c r="T390" s="18">
        <f t="shared" si="12"/>
        <v>0</v>
      </c>
      <c r="U390" s="19">
        <f t="shared" si="13"/>
        <v>0</v>
      </c>
      <c r="V390" s="9">
        <f t="shared" si="11"/>
        <v>0</v>
      </c>
      <c r="W390" s="19">
        <f t="shared" si="14"/>
        <v>0</v>
      </c>
      <c r="AB390" s="23" t="str">
        <f t="shared" si="15"/>
        <v>30,1–4</v>
      </c>
      <c r="AC390" s="24">
        <v>3</v>
      </c>
      <c r="AD390" s="15" t="s">
        <v>165</v>
      </c>
      <c r="AE390" s="11">
        <v>1</v>
      </c>
      <c r="AF390" s="46" t="s">
        <v>171</v>
      </c>
    </row>
    <row r="391" spans="2:60" ht="15.6" customHeight="1">
      <c r="B391" s="8"/>
      <c r="C391" s="63" t="s">
        <v>215</v>
      </c>
      <c r="D391" s="63"/>
      <c r="E391" s="63"/>
      <c r="F391" s="63"/>
      <c r="G391" s="63"/>
      <c r="H391" s="64" t="str">
        <f>IF(P391=0,"Проверьте данные в строках 229 и 233","")</f>
        <v>Проверьте данные в строках 229 и 233</v>
      </c>
      <c r="I391" s="64"/>
      <c r="J391" s="64"/>
      <c r="K391" s="64"/>
      <c r="L391" s="64"/>
      <c r="M391" s="64"/>
      <c r="N391" s="64"/>
      <c r="O391" s="64"/>
      <c r="P391" s="67">
        <f>W391</f>
        <v>0</v>
      </c>
      <c r="Q391" s="67"/>
      <c r="R391" s="8"/>
      <c r="S391" s="21">
        <f>IFERROR(VLOOKUP(AJ397,AJ398:AM545,4,FALSE),0)</f>
        <v>0</v>
      </c>
      <c r="T391" s="18">
        <f t="shared" si="12"/>
        <v>0</v>
      </c>
      <c r="U391" s="19">
        <f t="shared" si="13"/>
        <v>0</v>
      </c>
      <c r="V391" s="9">
        <f>IF(AND(U391&gt;0,U391&lt;=0.13),0,IF(AND(U391&gt;0.13,U391&lt;=0.37),0.25,IF(AND(U391&gt;0.37,U391&lt;=0.62),0.5,IF(AND(U391&gt;0.62,U391&lt;=0.87),0.75,IF(U391&gt;0.87,1,0)))))</f>
        <v>0</v>
      </c>
      <c r="W391" s="19">
        <f t="shared" si="14"/>
        <v>0</v>
      </c>
      <c r="X391" s="22"/>
      <c r="Y391" s="22"/>
      <c r="AB391" s="23" t="str">
        <f t="shared" si="15"/>
        <v>40,1–4</v>
      </c>
      <c r="AC391" s="24">
        <v>4</v>
      </c>
      <c r="AD391" s="15" t="s">
        <v>165</v>
      </c>
      <c r="AE391" s="11">
        <v>1.4</v>
      </c>
      <c r="AF391" s="46" t="s">
        <v>170</v>
      </c>
    </row>
    <row r="392" spans="2:60" ht="4.9000000000000004" customHeight="1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AB392" s="23" t="str">
        <f t="shared" si="15"/>
        <v>2-520,1–150</v>
      </c>
      <c r="AC392" s="24" t="s">
        <v>168</v>
      </c>
      <c r="AD392" s="15" t="s">
        <v>167</v>
      </c>
      <c r="AE392" s="11">
        <v>2</v>
      </c>
    </row>
    <row r="393" spans="2:60" ht="15.6" customHeight="1">
      <c r="AB393" s="23" t="str">
        <f t="shared" si="15"/>
        <v>5-100,1–4</v>
      </c>
      <c r="AC393" s="24" t="s">
        <v>169</v>
      </c>
      <c r="AD393" s="15" t="s">
        <v>165</v>
      </c>
      <c r="AE393" s="11">
        <v>1.8</v>
      </c>
    </row>
    <row r="394" spans="2:60" ht="66" customHeight="1">
      <c r="AB394" s="23" t="str">
        <f>CONCATENATE(AC394,AD394)</f>
        <v>6-1020,1–150</v>
      </c>
      <c r="AC394" s="24" t="s">
        <v>170</v>
      </c>
      <c r="AD394" s="15" t="s">
        <v>167</v>
      </c>
      <c r="AE394" s="11">
        <v>3</v>
      </c>
      <c r="AQ394" s="58" t="s">
        <v>225</v>
      </c>
      <c r="AR394" s="60" t="s">
        <v>226</v>
      </c>
      <c r="AS394" s="61"/>
      <c r="AT394" s="61"/>
      <c r="AU394" s="61"/>
      <c r="AV394" s="61"/>
      <c r="AW394" s="61"/>
      <c r="AX394" s="61"/>
      <c r="AY394" s="61"/>
      <c r="AZ394" s="61"/>
      <c r="BA394" s="61"/>
      <c r="BB394" s="61"/>
      <c r="BC394" s="61"/>
      <c r="BD394" s="61"/>
      <c r="BE394" s="61"/>
      <c r="BF394" s="61"/>
      <c r="BG394" s="61"/>
      <c r="BH394" s="62"/>
    </row>
    <row r="395" spans="2:60" ht="25.5">
      <c r="AQ395" s="59"/>
      <c r="AR395" s="27" t="s">
        <v>179</v>
      </c>
      <c r="AS395" s="27" t="s">
        <v>180</v>
      </c>
      <c r="AT395" s="27" t="s">
        <v>181</v>
      </c>
      <c r="AU395" s="27" t="s">
        <v>182</v>
      </c>
      <c r="AV395" s="27" t="s">
        <v>183</v>
      </c>
      <c r="AW395" s="27" t="s">
        <v>184</v>
      </c>
      <c r="AX395" s="27" t="s">
        <v>185</v>
      </c>
      <c r="AY395" s="27" t="s">
        <v>186</v>
      </c>
      <c r="AZ395" s="27" t="s">
        <v>187</v>
      </c>
      <c r="BA395" s="27" t="s">
        <v>189</v>
      </c>
      <c r="BB395" s="27" t="s">
        <v>190</v>
      </c>
      <c r="BC395" s="27" t="s">
        <v>191</v>
      </c>
      <c r="BD395" s="27" t="s">
        <v>192</v>
      </c>
      <c r="BE395" s="27" t="s">
        <v>193</v>
      </c>
      <c r="BF395" s="27" t="s">
        <v>194</v>
      </c>
      <c r="BG395" s="27" t="s">
        <v>195</v>
      </c>
      <c r="BH395" s="27" t="s">
        <v>196</v>
      </c>
    </row>
    <row r="396" spans="2:60">
      <c r="AC396" s="15" t="str">
        <f>CONCATENATE(P229,P231)</f>
        <v/>
      </c>
      <c r="AQ396" s="27">
        <v>1</v>
      </c>
      <c r="AR396" s="27">
        <v>2</v>
      </c>
      <c r="AS396" s="27">
        <v>3</v>
      </c>
      <c r="AT396" s="27">
        <v>4</v>
      </c>
      <c r="AU396" s="27">
        <v>5</v>
      </c>
      <c r="AV396" s="27">
        <v>6</v>
      </c>
      <c r="AW396" s="27">
        <v>7</v>
      </c>
      <c r="AX396" s="27">
        <v>8</v>
      </c>
      <c r="AY396" s="27">
        <v>9</v>
      </c>
      <c r="AZ396" s="27">
        <v>10</v>
      </c>
      <c r="BA396" s="27">
        <v>11</v>
      </c>
      <c r="BB396" s="27">
        <v>12</v>
      </c>
      <c r="BC396" s="27">
        <v>13</v>
      </c>
      <c r="BD396" s="27">
        <v>14</v>
      </c>
      <c r="BE396" s="27">
        <v>15</v>
      </c>
      <c r="BF396" s="27">
        <v>16</v>
      </c>
      <c r="BG396" s="27">
        <v>17</v>
      </c>
      <c r="BH396" s="27">
        <v>18</v>
      </c>
    </row>
    <row r="397" spans="2:60">
      <c r="AB397" s="25" t="s">
        <v>245</v>
      </c>
      <c r="AC397" s="15" t="str">
        <f>CONCATENATE(AD397,AE397)</f>
        <v>До 100До 1500</v>
      </c>
      <c r="AD397" s="23" t="s">
        <v>178</v>
      </c>
      <c r="AE397" s="47" t="s">
        <v>245</v>
      </c>
      <c r="AF397" s="48">
        <v>0.5</v>
      </c>
      <c r="AI397" s="27" t="s">
        <v>208</v>
      </c>
      <c r="AJ397" s="9" t="str">
        <f>CONCATENATE(P229,P233)</f>
        <v/>
      </c>
      <c r="AQ397" s="27" t="s">
        <v>178</v>
      </c>
      <c r="AR397" s="27">
        <v>0.5</v>
      </c>
      <c r="AS397" s="27">
        <v>1</v>
      </c>
      <c r="AT397" s="27">
        <v>1.25</v>
      </c>
      <c r="AU397" s="27">
        <v>1.5</v>
      </c>
      <c r="AV397" s="27">
        <v>1.75</v>
      </c>
      <c r="AW397" s="27">
        <v>2</v>
      </c>
      <c r="AX397" s="27">
        <v>2.25</v>
      </c>
      <c r="AY397" s="27">
        <v>2.5</v>
      </c>
      <c r="AZ397" s="27" t="s">
        <v>227</v>
      </c>
      <c r="BA397" s="27" t="s">
        <v>227</v>
      </c>
      <c r="BB397" s="27" t="s">
        <v>227</v>
      </c>
      <c r="BC397" s="27" t="s">
        <v>227</v>
      </c>
      <c r="BD397" s="27" t="s">
        <v>227</v>
      </c>
      <c r="BE397" s="27" t="s">
        <v>227</v>
      </c>
      <c r="BF397" s="27" t="s">
        <v>227</v>
      </c>
      <c r="BG397" s="27" t="s">
        <v>227</v>
      </c>
      <c r="BH397" s="27" t="s">
        <v>227</v>
      </c>
    </row>
    <row r="398" spans="2:60">
      <c r="AB398" s="25" t="s">
        <v>228</v>
      </c>
      <c r="AC398" s="15" t="str">
        <f t="shared" ref="AC398:AC461" si="17">CONCATENATE(AD398,AE398)</f>
        <v>До 1001501–2500</v>
      </c>
      <c r="AD398" s="23" t="s">
        <v>178</v>
      </c>
      <c r="AE398" s="47" t="s">
        <v>228</v>
      </c>
      <c r="AF398" s="48">
        <v>1</v>
      </c>
      <c r="AI398" s="27" t="s">
        <v>209</v>
      </c>
      <c r="AJ398" s="9" t="str">
        <f>CONCATENATE(AK398,AL398)</f>
        <v>До 100До 400</v>
      </c>
      <c r="AK398" s="28" t="s">
        <v>178</v>
      </c>
      <c r="AL398" s="27" t="s">
        <v>208</v>
      </c>
      <c r="AM398" s="27">
        <v>0.25</v>
      </c>
      <c r="AO398" s="28" t="s">
        <v>178</v>
      </c>
      <c r="AQ398" s="27" t="s">
        <v>188</v>
      </c>
      <c r="AR398" s="27">
        <v>0.75</v>
      </c>
      <c r="AS398" s="27">
        <v>1</v>
      </c>
      <c r="AT398" s="27">
        <v>1.5</v>
      </c>
      <c r="AU398" s="27">
        <v>1.75</v>
      </c>
      <c r="AV398" s="27">
        <v>2</v>
      </c>
      <c r="AW398" s="27">
        <v>2.25</v>
      </c>
      <c r="AX398" s="27">
        <v>2.5</v>
      </c>
      <c r="AY398" s="27">
        <v>2.75</v>
      </c>
      <c r="AZ398" s="27">
        <v>3.25</v>
      </c>
      <c r="BA398" s="27" t="s">
        <v>227</v>
      </c>
      <c r="BB398" s="27" t="s">
        <v>227</v>
      </c>
      <c r="BC398" s="27" t="s">
        <v>227</v>
      </c>
      <c r="BD398" s="27" t="s">
        <v>227</v>
      </c>
      <c r="BE398" s="27" t="s">
        <v>227</v>
      </c>
      <c r="BF398" s="27" t="s">
        <v>227</v>
      </c>
      <c r="BG398" s="27" t="s">
        <v>227</v>
      </c>
      <c r="BH398" s="27" t="s">
        <v>227</v>
      </c>
    </row>
    <row r="399" spans="2:60">
      <c r="AB399" s="25" t="s">
        <v>229</v>
      </c>
      <c r="AC399" s="15" t="str">
        <f t="shared" si="17"/>
        <v>До 1002501–3500</v>
      </c>
      <c r="AD399" s="23" t="s">
        <v>178</v>
      </c>
      <c r="AE399" s="47" t="s">
        <v>229</v>
      </c>
      <c r="AF399" s="48">
        <v>1.25</v>
      </c>
      <c r="AI399" s="27" t="s">
        <v>211</v>
      </c>
      <c r="AJ399" s="9" t="str">
        <f t="shared" ref="AJ399:AJ462" si="18">CONCATENATE(AK399,AL399)</f>
        <v>До 100401–600</v>
      </c>
      <c r="AK399" s="28" t="s">
        <v>178</v>
      </c>
      <c r="AL399" s="27" t="s">
        <v>209</v>
      </c>
      <c r="AM399" s="27">
        <v>0.25</v>
      </c>
      <c r="AO399" s="28" t="s">
        <v>188</v>
      </c>
      <c r="AQ399" s="27" t="s">
        <v>197</v>
      </c>
      <c r="AR399" s="27">
        <v>1</v>
      </c>
      <c r="AS399" s="27">
        <v>1.5</v>
      </c>
      <c r="AT399" s="27">
        <v>1.75</v>
      </c>
      <c r="AU399" s="27">
        <v>2</v>
      </c>
      <c r="AV399" s="27">
        <v>2.25</v>
      </c>
      <c r="AW399" s="27">
        <v>2.5</v>
      </c>
      <c r="AX399" s="27">
        <v>2.75</v>
      </c>
      <c r="AY399" s="27">
        <v>3</v>
      </c>
      <c r="AZ399" s="27">
        <v>3.5</v>
      </c>
      <c r="BA399" s="27">
        <v>3.75</v>
      </c>
      <c r="BB399" s="27" t="s">
        <v>227</v>
      </c>
      <c r="BC399" s="27" t="s">
        <v>227</v>
      </c>
      <c r="BD399" s="27" t="s">
        <v>227</v>
      </c>
      <c r="BE399" s="27" t="s">
        <v>227</v>
      </c>
      <c r="BF399" s="27" t="s">
        <v>227</v>
      </c>
      <c r="BG399" s="27" t="s">
        <v>227</v>
      </c>
      <c r="BH399" s="27" t="s">
        <v>227</v>
      </c>
    </row>
    <row r="400" spans="2:60">
      <c r="AB400" s="25" t="s">
        <v>230</v>
      </c>
      <c r="AC400" s="15" t="str">
        <f t="shared" si="17"/>
        <v>До 1003501–4500</v>
      </c>
      <c r="AD400" s="23" t="s">
        <v>178</v>
      </c>
      <c r="AE400" s="47" t="s">
        <v>230</v>
      </c>
      <c r="AF400" s="48">
        <v>1.5</v>
      </c>
      <c r="AI400" s="27" t="s">
        <v>246</v>
      </c>
      <c r="AJ400" s="9" t="str">
        <f t="shared" si="18"/>
        <v>До 100601–850</v>
      </c>
      <c r="AK400" s="28" t="s">
        <v>178</v>
      </c>
      <c r="AL400" s="27" t="s">
        <v>211</v>
      </c>
      <c r="AM400" s="27">
        <v>0.5</v>
      </c>
      <c r="AO400" s="28" t="s">
        <v>197</v>
      </c>
      <c r="AQ400" s="27" t="s">
        <v>198</v>
      </c>
      <c r="AR400" s="27">
        <v>1.25</v>
      </c>
      <c r="AS400" s="27">
        <v>1.5</v>
      </c>
      <c r="AT400" s="27">
        <v>2</v>
      </c>
      <c r="AU400" s="27">
        <v>2.25</v>
      </c>
      <c r="AV400" s="27">
        <v>2.5</v>
      </c>
      <c r="AW400" s="27">
        <v>2.75</v>
      </c>
      <c r="AX400" s="27">
        <v>3</v>
      </c>
      <c r="AY400" s="27">
        <v>3.25</v>
      </c>
      <c r="AZ400" s="27">
        <v>3.75</v>
      </c>
      <c r="BA400" s="27">
        <v>4</v>
      </c>
      <c r="BB400" s="27">
        <v>4.25</v>
      </c>
      <c r="BC400" s="27" t="s">
        <v>227</v>
      </c>
      <c r="BD400" s="27" t="s">
        <v>227</v>
      </c>
      <c r="BE400" s="27" t="s">
        <v>227</v>
      </c>
      <c r="BF400" s="27" t="s">
        <v>227</v>
      </c>
      <c r="BG400" s="27" t="s">
        <v>227</v>
      </c>
      <c r="BH400" s="27" t="s">
        <v>227</v>
      </c>
    </row>
    <row r="401" spans="28:60">
      <c r="AB401" s="25" t="s">
        <v>231</v>
      </c>
      <c r="AC401" s="15" t="str">
        <f t="shared" si="17"/>
        <v>До 1004501–5500</v>
      </c>
      <c r="AD401" s="23" t="s">
        <v>178</v>
      </c>
      <c r="AE401" s="47" t="s">
        <v>231</v>
      </c>
      <c r="AF401" s="48">
        <v>1.75</v>
      </c>
      <c r="AI401" s="27" t="s">
        <v>247</v>
      </c>
      <c r="AJ401" s="9" t="str">
        <f t="shared" si="18"/>
        <v>До 100851–1300</v>
      </c>
      <c r="AK401" s="28" t="s">
        <v>178</v>
      </c>
      <c r="AL401" s="27" t="s">
        <v>246</v>
      </c>
      <c r="AM401" s="27">
        <v>0.5</v>
      </c>
      <c r="AO401" s="28" t="s">
        <v>198</v>
      </c>
      <c r="AQ401" s="27" t="s">
        <v>199</v>
      </c>
      <c r="AR401" s="27">
        <v>1.5</v>
      </c>
      <c r="AS401" s="27">
        <v>2</v>
      </c>
      <c r="AT401" s="27">
        <v>2.25</v>
      </c>
      <c r="AU401" s="27">
        <v>2.5</v>
      </c>
      <c r="AV401" s="27">
        <v>2.75</v>
      </c>
      <c r="AW401" s="27">
        <v>3</v>
      </c>
      <c r="AX401" s="27">
        <v>3.25</v>
      </c>
      <c r="AY401" s="27">
        <v>3.5</v>
      </c>
      <c r="AZ401" s="27">
        <v>4</v>
      </c>
      <c r="BA401" s="27">
        <v>4.25</v>
      </c>
      <c r="BB401" s="27">
        <v>4.5</v>
      </c>
      <c r="BC401" s="27">
        <v>4.75</v>
      </c>
      <c r="BD401" s="27" t="s">
        <v>227</v>
      </c>
      <c r="BE401" s="27" t="s">
        <v>227</v>
      </c>
      <c r="BF401" s="27" t="s">
        <v>227</v>
      </c>
      <c r="BG401" s="27" t="s">
        <v>227</v>
      </c>
      <c r="BH401" s="27" t="s">
        <v>227</v>
      </c>
    </row>
    <row r="402" spans="28:60">
      <c r="AB402" s="25" t="s">
        <v>232</v>
      </c>
      <c r="AC402" s="15" t="str">
        <f t="shared" si="17"/>
        <v>До 1005501–6500</v>
      </c>
      <c r="AD402" s="23" t="s">
        <v>178</v>
      </c>
      <c r="AE402" s="47" t="s">
        <v>232</v>
      </c>
      <c r="AF402" s="48">
        <v>2</v>
      </c>
      <c r="AI402" s="27" t="s">
        <v>248</v>
      </c>
      <c r="AJ402" s="9" t="str">
        <f t="shared" si="18"/>
        <v>До 1001301–1800</v>
      </c>
      <c r="AK402" s="28" t="s">
        <v>178</v>
      </c>
      <c r="AL402" s="27" t="s">
        <v>247</v>
      </c>
      <c r="AM402" s="27">
        <v>0.75</v>
      </c>
      <c r="AO402" s="28" t="s">
        <v>199</v>
      </c>
      <c r="AQ402" s="27" t="s">
        <v>200</v>
      </c>
      <c r="AR402" s="27">
        <v>2</v>
      </c>
      <c r="AS402" s="27">
        <v>2.25</v>
      </c>
      <c r="AT402" s="27">
        <v>2.5</v>
      </c>
      <c r="AU402" s="27">
        <v>2.75</v>
      </c>
      <c r="AV402" s="27">
        <v>3</v>
      </c>
      <c r="AW402" s="27">
        <v>3.25</v>
      </c>
      <c r="AX402" s="27">
        <v>3.5</v>
      </c>
      <c r="AY402" s="27">
        <v>3.75</v>
      </c>
      <c r="AZ402" s="27">
        <v>4.25</v>
      </c>
      <c r="BA402" s="27">
        <v>4.5</v>
      </c>
      <c r="BB402" s="27">
        <v>4.75</v>
      </c>
      <c r="BC402" s="27">
        <v>5</v>
      </c>
      <c r="BD402" s="27">
        <v>5.25</v>
      </c>
      <c r="BE402" s="27" t="s">
        <v>227</v>
      </c>
      <c r="BF402" s="27" t="s">
        <v>227</v>
      </c>
      <c r="BG402" s="27" t="s">
        <v>227</v>
      </c>
      <c r="BH402" s="27" t="s">
        <v>227</v>
      </c>
    </row>
    <row r="403" spans="28:60">
      <c r="AB403" s="25" t="s">
        <v>233</v>
      </c>
      <c r="AC403" s="15" t="str">
        <f t="shared" si="17"/>
        <v>До 1006501–7500</v>
      </c>
      <c r="AD403" s="23" t="s">
        <v>178</v>
      </c>
      <c r="AE403" s="47" t="s">
        <v>233</v>
      </c>
      <c r="AF403" s="48">
        <v>2.25</v>
      </c>
      <c r="AI403" s="27" t="s">
        <v>229</v>
      </c>
      <c r="AJ403" s="9" t="str">
        <f t="shared" si="18"/>
        <v>101–200до 400</v>
      </c>
      <c r="AK403" s="28" t="s">
        <v>188</v>
      </c>
      <c r="AL403" s="27" t="s">
        <v>210</v>
      </c>
      <c r="AM403" s="27">
        <v>0.25</v>
      </c>
      <c r="AO403" s="28" t="s">
        <v>200</v>
      </c>
      <c r="AQ403" s="27" t="s">
        <v>201</v>
      </c>
      <c r="AR403" s="27">
        <v>2.25</v>
      </c>
      <c r="AS403" s="27">
        <v>2.5</v>
      </c>
      <c r="AT403" s="27">
        <v>2.75</v>
      </c>
      <c r="AU403" s="27">
        <v>3</v>
      </c>
      <c r="AV403" s="27">
        <v>3.25</v>
      </c>
      <c r="AW403" s="27">
        <v>3.5</v>
      </c>
      <c r="AX403" s="27">
        <v>4</v>
      </c>
      <c r="AY403" s="27">
        <v>4.25</v>
      </c>
      <c r="AZ403" s="27">
        <v>4.5</v>
      </c>
      <c r="BA403" s="27">
        <v>4.75</v>
      </c>
      <c r="BB403" s="27">
        <v>5</v>
      </c>
      <c r="BC403" s="27">
        <v>5.5</v>
      </c>
      <c r="BD403" s="27">
        <v>6.25</v>
      </c>
      <c r="BE403" s="27">
        <v>6.75</v>
      </c>
      <c r="BF403" s="27" t="s">
        <v>227</v>
      </c>
      <c r="BG403" s="27" t="s">
        <v>227</v>
      </c>
      <c r="BH403" s="27" t="s">
        <v>227</v>
      </c>
    </row>
    <row r="404" spans="28:60">
      <c r="AB404" s="25" t="s">
        <v>234</v>
      </c>
      <c r="AC404" s="15" t="str">
        <f t="shared" si="17"/>
        <v>До 1007501–8500</v>
      </c>
      <c r="AD404" s="23" t="s">
        <v>178</v>
      </c>
      <c r="AE404" s="47" t="s">
        <v>234</v>
      </c>
      <c r="AF404" s="48">
        <v>2.5</v>
      </c>
      <c r="AI404" s="27" t="s">
        <v>249</v>
      </c>
      <c r="AJ404" s="9" t="str">
        <f t="shared" si="18"/>
        <v>101–200401–600</v>
      </c>
      <c r="AK404" s="28" t="s">
        <v>188</v>
      </c>
      <c r="AL404" s="27" t="s">
        <v>209</v>
      </c>
      <c r="AM404" s="27">
        <v>0.25</v>
      </c>
      <c r="AO404" s="28" t="s">
        <v>201</v>
      </c>
      <c r="AQ404" s="27" t="s">
        <v>202</v>
      </c>
      <c r="AR404" s="27">
        <v>2.5</v>
      </c>
      <c r="AS404" s="27">
        <v>2.75</v>
      </c>
      <c r="AT404" s="27">
        <v>3</v>
      </c>
      <c r="AU404" s="27">
        <v>3.25</v>
      </c>
      <c r="AV404" s="27">
        <v>3.5</v>
      </c>
      <c r="AW404" s="27">
        <v>4</v>
      </c>
      <c r="AX404" s="27">
        <v>4.25</v>
      </c>
      <c r="AY404" s="27">
        <v>4.5</v>
      </c>
      <c r="AZ404" s="27">
        <v>4.75</v>
      </c>
      <c r="BA404" s="27">
        <v>5.25</v>
      </c>
      <c r="BB404" s="27">
        <v>5.5</v>
      </c>
      <c r="BC404" s="27">
        <v>5.75</v>
      </c>
      <c r="BD404" s="27">
        <v>6.75</v>
      </c>
      <c r="BE404" s="27">
        <v>7.5</v>
      </c>
      <c r="BF404" s="27">
        <v>8.25</v>
      </c>
      <c r="BG404" s="27" t="s">
        <v>227</v>
      </c>
      <c r="BH404" s="27" t="s">
        <v>227</v>
      </c>
    </row>
    <row r="405" spans="28:60">
      <c r="AB405" s="25" t="s">
        <v>236</v>
      </c>
      <c r="AC405" s="15" t="str">
        <f t="shared" si="17"/>
        <v>101–200до1500</v>
      </c>
      <c r="AD405" s="23" t="s">
        <v>188</v>
      </c>
      <c r="AE405" s="47" t="s">
        <v>235</v>
      </c>
      <c r="AF405" s="48">
        <v>0.75</v>
      </c>
      <c r="AI405" s="27" t="s">
        <v>250</v>
      </c>
      <c r="AJ405" s="9" t="str">
        <f t="shared" si="18"/>
        <v>101–200601–850</v>
      </c>
      <c r="AK405" s="28" t="s">
        <v>188</v>
      </c>
      <c r="AL405" s="27" t="s">
        <v>211</v>
      </c>
      <c r="AM405" s="27">
        <v>0.5</v>
      </c>
      <c r="AO405" s="28" t="s">
        <v>202</v>
      </c>
      <c r="AQ405" s="27" t="s">
        <v>203</v>
      </c>
      <c r="AR405" s="27" t="s">
        <v>227</v>
      </c>
      <c r="AS405" s="27">
        <v>3</v>
      </c>
      <c r="AT405" s="27">
        <v>3.25</v>
      </c>
      <c r="AU405" s="27">
        <v>3.5</v>
      </c>
      <c r="AV405" s="27">
        <v>3.75</v>
      </c>
      <c r="AW405" s="27">
        <v>4.25</v>
      </c>
      <c r="AX405" s="27">
        <v>4.5</v>
      </c>
      <c r="AY405" s="27">
        <v>4.75</v>
      </c>
      <c r="AZ405" s="27">
        <v>5</v>
      </c>
      <c r="BA405" s="27">
        <v>5.5</v>
      </c>
      <c r="BB405" s="27">
        <v>5.75</v>
      </c>
      <c r="BC405" s="27">
        <v>6</v>
      </c>
      <c r="BD405" s="27">
        <v>7.25</v>
      </c>
      <c r="BE405" s="27">
        <v>8.25</v>
      </c>
      <c r="BF405" s="27">
        <v>8.5</v>
      </c>
      <c r="BG405" s="27">
        <v>9</v>
      </c>
      <c r="BH405" s="27" t="s">
        <v>227</v>
      </c>
    </row>
    <row r="406" spans="28:60">
      <c r="AB406" s="25" t="s">
        <v>237</v>
      </c>
      <c r="AC406" s="15" t="str">
        <f t="shared" si="17"/>
        <v>101–2001501–2500</v>
      </c>
      <c r="AD406" s="23" t="s">
        <v>188</v>
      </c>
      <c r="AE406" s="47" t="s">
        <v>228</v>
      </c>
      <c r="AF406" s="48">
        <v>1</v>
      </c>
      <c r="AI406" s="27" t="s">
        <v>251</v>
      </c>
      <c r="AJ406" s="9" t="str">
        <f t="shared" si="18"/>
        <v>101–200851–1300</v>
      </c>
      <c r="AK406" s="28" t="s">
        <v>188</v>
      </c>
      <c r="AL406" s="27" t="s">
        <v>246</v>
      </c>
      <c r="AM406" s="27">
        <v>0.5</v>
      </c>
      <c r="AO406" s="28" t="s">
        <v>203</v>
      </c>
      <c r="AQ406" s="27" t="s">
        <v>204</v>
      </c>
      <c r="AR406" s="27" t="s">
        <v>227</v>
      </c>
      <c r="AS406" s="27" t="s">
        <v>227</v>
      </c>
      <c r="AT406" s="27">
        <v>3.5</v>
      </c>
      <c r="AU406" s="27">
        <v>3.75</v>
      </c>
      <c r="AV406" s="27">
        <v>4</v>
      </c>
      <c r="AW406" s="27">
        <v>4.5</v>
      </c>
      <c r="AX406" s="27">
        <v>4.75</v>
      </c>
      <c r="AY406" s="27">
        <v>5</v>
      </c>
      <c r="AZ406" s="27">
        <v>5.25</v>
      </c>
      <c r="BA406" s="27">
        <v>5.75</v>
      </c>
      <c r="BB406" s="27">
        <v>6</v>
      </c>
      <c r="BC406" s="27">
        <v>6.5</v>
      </c>
      <c r="BD406" s="27">
        <v>8.25</v>
      </c>
      <c r="BE406" s="27">
        <v>8.75</v>
      </c>
      <c r="BF406" s="27">
        <v>9.25</v>
      </c>
      <c r="BG406" s="27">
        <v>9.5</v>
      </c>
      <c r="BH406" s="27">
        <v>10.5</v>
      </c>
    </row>
    <row r="407" spans="28:60" ht="25.5">
      <c r="AB407" s="25" t="s">
        <v>238</v>
      </c>
      <c r="AC407" s="15" t="str">
        <f t="shared" si="17"/>
        <v>101–2002501–3500</v>
      </c>
      <c r="AD407" s="23" t="s">
        <v>188</v>
      </c>
      <c r="AE407" s="47" t="s">
        <v>229</v>
      </c>
      <c r="AF407" s="48">
        <v>1.5</v>
      </c>
      <c r="AI407" s="27" t="s">
        <v>252</v>
      </c>
      <c r="AJ407" s="9" t="str">
        <f t="shared" si="18"/>
        <v>101–2001301–1800</v>
      </c>
      <c r="AK407" s="28" t="s">
        <v>188</v>
      </c>
      <c r="AL407" s="27" t="s">
        <v>247</v>
      </c>
      <c r="AM407" s="27">
        <v>0.75</v>
      </c>
      <c r="AO407" s="28" t="s">
        <v>256</v>
      </c>
      <c r="AQ407" s="27" t="s">
        <v>205</v>
      </c>
      <c r="AR407" s="27" t="s">
        <v>227</v>
      </c>
      <c r="AS407" s="27" t="s">
        <v>227</v>
      </c>
      <c r="AT407" s="27" t="s">
        <v>227</v>
      </c>
      <c r="AU407" s="27">
        <v>4</v>
      </c>
      <c r="AV407" s="27">
        <v>4.25</v>
      </c>
      <c r="AW407" s="27">
        <v>4.75</v>
      </c>
      <c r="AX407" s="27">
        <v>5</v>
      </c>
      <c r="AY407" s="27">
        <v>5.5</v>
      </c>
      <c r="AZ407" s="27">
        <v>6</v>
      </c>
      <c r="BA407" s="27">
        <v>6.5</v>
      </c>
      <c r="BB407" s="27">
        <v>7</v>
      </c>
      <c r="BC407" s="27">
        <v>7.5</v>
      </c>
      <c r="BD407" s="27">
        <v>8.75</v>
      </c>
      <c r="BE407" s="27">
        <v>10.25</v>
      </c>
      <c r="BF407" s="27">
        <v>10.25</v>
      </c>
      <c r="BG407" s="27">
        <v>10.5</v>
      </c>
      <c r="BH407" s="27">
        <v>11.25</v>
      </c>
    </row>
    <row r="408" spans="28:60" ht="25.5">
      <c r="AB408" s="25" t="s">
        <v>239</v>
      </c>
      <c r="AC408" s="15" t="str">
        <f t="shared" si="17"/>
        <v>101–2003501–4500</v>
      </c>
      <c r="AD408" s="23" t="s">
        <v>188</v>
      </c>
      <c r="AE408" s="47" t="s">
        <v>230</v>
      </c>
      <c r="AF408" s="48">
        <v>1.75</v>
      </c>
      <c r="AI408" s="27" t="s">
        <v>253</v>
      </c>
      <c r="AJ408" s="9" t="str">
        <f t="shared" si="18"/>
        <v>101–2001801–2500</v>
      </c>
      <c r="AK408" s="28" t="s">
        <v>188</v>
      </c>
      <c r="AL408" s="27" t="s">
        <v>248</v>
      </c>
      <c r="AM408" s="27">
        <v>1</v>
      </c>
      <c r="AO408" s="28" t="s">
        <v>257</v>
      </c>
      <c r="AQ408" s="27" t="s">
        <v>206</v>
      </c>
      <c r="AR408" s="27" t="s">
        <v>227</v>
      </c>
      <c r="AS408" s="27" t="s">
        <v>227</v>
      </c>
      <c r="AT408" s="27" t="s">
        <v>227</v>
      </c>
      <c r="AU408" s="27">
        <v>4.25</v>
      </c>
      <c r="AV408" s="27">
        <v>4.5</v>
      </c>
      <c r="AW408" s="27">
        <v>5</v>
      </c>
      <c r="AX408" s="27">
        <v>5.5</v>
      </c>
      <c r="AY408" s="27">
        <v>5.75</v>
      </c>
      <c r="AZ408" s="27">
        <v>6.5</v>
      </c>
      <c r="BA408" s="27">
        <v>7</v>
      </c>
      <c r="BB408" s="27">
        <v>7.5</v>
      </c>
      <c r="BC408" s="27">
        <v>8</v>
      </c>
      <c r="BD408" s="27">
        <v>9.5</v>
      </c>
      <c r="BE408" s="27">
        <v>11.25</v>
      </c>
      <c r="BF408" s="27">
        <v>11.25</v>
      </c>
      <c r="BG408" s="27">
        <v>11.5</v>
      </c>
      <c r="BH408" s="27">
        <v>12.75</v>
      </c>
    </row>
    <row r="409" spans="28:60" ht="25.5">
      <c r="AB409" s="25" t="s">
        <v>240</v>
      </c>
      <c r="AC409" s="15" t="str">
        <f t="shared" si="17"/>
        <v>101–2004501–5500</v>
      </c>
      <c r="AD409" s="23" t="s">
        <v>188</v>
      </c>
      <c r="AE409" s="47" t="s">
        <v>231</v>
      </c>
      <c r="AF409" s="48">
        <v>2</v>
      </c>
      <c r="AI409" s="27" t="s">
        <v>254</v>
      </c>
      <c r="AJ409" s="9" t="str">
        <f t="shared" si="18"/>
        <v>201–300до 400</v>
      </c>
      <c r="AK409" s="28" t="s">
        <v>197</v>
      </c>
      <c r="AL409" s="27" t="s">
        <v>210</v>
      </c>
      <c r="AM409" s="27">
        <v>0.25</v>
      </c>
      <c r="AO409" s="28" t="s">
        <v>258</v>
      </c>
      <c r="AQ409" s="27" t="s">
        <v>180</v>
      </c>
      <c r="AR409" s="27" t="s">
        <v>227</v>
      </c>
      <c r="AS409" s="27" t="s">
        <v>227</v>
      </c>
      <c r="AT409" s="27" t="s">
        <v>227</v>
      </c>
      <c r="AU409" s="27" t="s">
        <v>227</v>
      </c>
      <c r="AV409" s="27">
        <v>4.75</v>
      </c>
      <c r="AW409" s="27">
        <v>5.5</v>
      </c>
      <c r="AX409" s="27">
        <v>6</v>
      </c>
      <c r="AY409" s="27">
        <v>6.5</v>
      </c>
      <c r="AZ409" s="27">
        <v>7</v>
      </c>
      <c r="BA409" s="27">
        <v>7.5</v>
      </c>
      <c r="BB409" s="27">
        <v>8</v>
      </c>
      <c r="BC409" s="27">
        <v>8.5</v>
      </c>
      <c r="BD409" s="27">
        <v>10.75</v>
      </c>
      <c r="BE409" s="27">
        <v>12.5</v>
      </c>
      <c r="BF409" s="27">
        <v>12.5</v>
      </c>
      <c r="BG409" s="27">
        <v>12.75</v>
      </c>
      <c r="BH409" s="27">
        <v>14.25</v>
      </c>
    </row>
    <row r="410" spans="28:60" ht="25.5">
      <c r="AB410" s="25" t="s">
        <v>241</v>
      </c>
      <c r="AC410" s="15" t="str">
        <f t="shared" si="17"/>
        <v>101–2005501–6500</v>
      </c>
      <c r="AD410" s="23" t="s">
        <v>188</v>
      </c>
      <c r="AE410" s="47" t="s">
        <v>232</v>
      </c>
      <c r="AF410" s="48">
        <v>2.25</v>
      </c>
      <c r="AI410" s="27" t="s">
        <v>255</v>
      </c>
      <c r="AJ410" s="9" t="str">
        <f t="shared" si="18"/>
        <v>201–300401–600</v>
      </c>
      <c r="AK410" s="28" t="s">
        <v>197</v>
      </c>
      <c r="AL410" s="27" t="s">
        <v>209</v>
      </c>
      <c r="AM410" s="27">
        <v>0.5</v>
      </c>
      <c r="AO410" s="28" t="s">
        <v>228</v>
      </c>
      <c r="AQ410" s="27" t="s">
        <v>181</v>
      </c>
      <c r="AR410" s="27" t="s">
        <v>227</v>
      </c>
      <c r="AS410" s="27" t="s">
        <v>227</v>
      </c>
      <c r="AT410" s="27" t="s">
        <v>227</v>
      </c>
      <c r="AU410" s="27" t="s">
        <v>227</v>
      </c>
      <c r="AV410" s="27" t="s">
        <v>227</v>
      </c>
      <c r="AW410" s="27">
        <v>6</v>
      </c>
      <c r="AX410" s="27">
        <v>6.5</v>
      </c>
      <c r="AY410" s="27">
        <v>7</v>
      </c>
      <c r="AZ410" s="27">
        <v>7.5</v>
      </c>
      <c r="BA410" s="27">
        <v>8</v>
      </c>
      <c r="BB410" s="27">
        <v>8.5</v>
      </c>
      <c r="BC410" s="27">
        <v>9.25</v>
      </c>
      <c r="BD410" s="27">
        <v>12.5</v>
      </c>
      <c r="BE410" s="27">
        <v>13.75</v>
      </c>
      <c r="BF410" s="27">
        <v>13.75</v>
      </c>
      <c r="BG410" s="27">
        <v>13.75</v>
      </c>
      <c r="BH410" s="27">
        <v>15.5</v>
      </c>
    </row>
    <row r="411" spans="28:60" ht="25.5">
      <c r="AB411" s="25" t="s">
        <v>242</v>
      </c>
      <c r="AC411" s="15" t="str">
        <f t="shared" si="17"/>
        <v>101–2006501–7500</v>
      </c>
      <c r="AD411" s="23" t="s">
        <v>188</v>
      </c>
      <c r="AE411" s="47" t="s">
        <v>233</v>
      </c>
      <c r="AF411" s="48">
        <v>2.5</v>
      </c>
      <c r="AI411" s="26"/>
      <c r="AJ411" s="9" t="str">
        <f t="shared" si="18"/>
        <v>201–300601–850</v>
      </c>
      <c r="AK411" s="28" t="s">
        <v>197</v>
      </c>
      <c r="AL411" s="27" t="s">
        <v>211</v>
      </c>
      <c r="AM411" s="27">
        <v>0.5</v>
      </c>
      <c r="AO411" s="28" t="s">
        <v>229</v>
      </c>
      <c r="AQ411" s="27" t="s">
        <v>182</v>
      </c>
      <c r="AR411" s="27" t="s">
        <v>227</v>
      </c>
      <c r="AS411" s="27" t="s">
        <v>227</v>
      </c>
      <c r="AT411" s="27" t="s">
        <v>227</v>
      </c>
      <c r="AU411" s="27" t="s">
        <v>227</v>
      </c>
      <c r="AV411" s="27" t="s">
        <v>227</v>
      </c>
      <c r="AW411" s="27" t="s">
        <v>227</v>
      </c>
      <c r="AX411" s="27">
        <v>7</v>
      </c>
      <c r="AY411" s="27">
        <v>7.5</v>
      </c>
      <c r="AZ411" s="27">
        <v>8</v>
      </c>
      <c r="BA411" s="27">
        <v>9</v>
      </c>
      <c r="BB411" s="27">
        <v>9.5</v>
      </c>
      <c r="BC411" s="27">
        <v>10.5</v>
      </c>
      <c r="BD411" s="27">
        <v>13.75</v>
      </c>
      <c r="BE411" s="27">
        <v>15.5</v>
      </c>
      <c r="BF411" s="27">
        <v>15.5</v>
      </c>
      <c r="BG411" s="27">
        <v>16.5</v>
      </c>
      <c r="BH411" s="27">
        <v>17.75</v>
      </c>
    </row>
    <row r="412" spans="28:60" ht="25.5">
      <c r="AB412" s="25" t="s">
        <v>243</v>
      </c>
      <c r="AC412" s="15" t="str">
        <f t="shared" si="17"/>
        <v>101–2007501–8500</v>
      </c>
      <c r="AD412" s="23" t="s">
        <v>188</v>
      </c>
      <c r="AE412" s="47" t="s">
        <v>234</v>
      </c>
      <c r="AF412" s="48">
        <v>2.75</v>
      </c>
      <c r="AI412" s="26"/>
      <c r="AJ412" s="9" t="str">
        <f t="shared" si="18"/>
        <v>201–300851–1300</v>
      </c>
      <c r="AK412" s="28" t="s">
        <v>197</v>
      </c>
      <c r="AL412" s="27" t="s">
        <v>246</v>
      </c>
      <c r="AM412" s="27">
        <v>0.75</v>
      </c>
      <c r="AO412" s="28" t="s">
        <v>230</v>
      </c>
      <c r="AQ412" s="27" t="s">
        <v>183</v>
      </c>
      <c r="AR412" s="27" t="s">
        <v>227</v>
      </c>
      <c r="AS412" s="27" t="s">
        <v>227</v>
      </c>
      <c r="AT412" s="27" t="s">
        <v>227</v>
      </c>
      <c r="AU412" s="27" t="s">
        <v>227</v>
      </c>
      <c r="AV412" s="27" t="s">
        <v>227</v>
      </c>
      <c r="AW412" s="27" t="s">
        <v>227</v>
      </c>
      <c r="AX412" s="27" t="s">
        <v>227</v>
      </c>
      <c r="AY412" s="27">
        <v>8</v>
      </c>
      <c r="AZ412" s="27">
        <v>8.5</v>
      </c>
      <c r="BA412" s="27">
        <v>10.25</v>
      </c>
      <c r="BB412" s="27">
        <v>10.5</v>
      </c>
      <c r="BC412" s="27">
        <v>11.5</v>
      </c>
      <c r="BD412" s="27">
        <v>15.5</v>
      </c>
      <c r="BE412" s="27">
        <v>16.75</v>
      </c>
      <c r="BF412" s="27">
        <v>16.75</v>
      </c>
      <c r="BG412" s="27">
        <v>18</v>
      </c>
      <c r="BH412" s="27">
        <v>19.25</v>
      </c>
    </row>
    <row r="413" spans="28:60" ht="25.5">
      <c r="AB413" s="25" t="s">
        <v>244</v>
      </c>
      <c r="AC413" s="15" t="str">
        <f t="shared" si="17"/>
        <v>101–2008501–9500</v>
      </c>
      <c r="AD413" s="23" t="s">
        <v>188</v>
      </c>
      <c r="AE413" s="47" t="s">
        <v>236</v>
      </c>
      <c r="AF413" s="48">
        <v>3.25</v>
      </c>
      <c r="AI413" s="26"/>
      <c r="AJ413" s="9" t="str">
        <f t="shared" si="18"/>
        <v>201–3001301–1800</v>
      </c>
      <c r="AK413" s="28" t="s">
        <v>197</v>
      </c>
      <c r="AL413" s="27" t="s">
        <v>247</v>
      </c>
      <c r="AM413" s="27">
        <v>0.75</v>
      </c>
      <c r="AO413" s="28" t="s">
        <v>231</v>
      </c>
      <c r="AQ413" s="27" t="s">
        <v>207</v>
      </c>
      <c r="AR413" s="27" t="s">
        <v>227</v>
      </c>
      <c r="AS413" s="27" t="s">
        <v>227</v>
      </c>
      <c r="AT413" s="27" t="s">
        <v>227</v>
      </c>
      <c r="AU413" s="27" t="s">
        <v>227</v>
      </c>
      <c r="AV413" s="27" t="s">
        <v>227</v>
      </c>
      <c r="AW413" s="27" t="s">
        <v>227</v>
      </c>
      <c r="AX413" s="27" t="s">
        <v>227</v>
      </c>
      <c r="AY413" s="27" t="s">
        <v>227</v>
      </c>
      <c r="AZ413" s="27">
        <v>10</v>
      </c>
      <c r="BA413" s="27">
        <v>11</v>
      </c>
      <c r="BB413" s="27">
        <v>11.5</v>
      </c>
      <c r="BC413" s="27">
        <v>12.5</v>
      </c>
      <c r="BD413" s="27">
        <v>16.75</v>
      </c>
      <c r="BE413" s="27">
        <v>18.5</v>
      </c>
      <c r="BF413" s="27">
        <v>18.5</v>
      </c>
      <c r="BG413" s="27">
        <v>20</v>
      </c>
      <c r="BH413" s="27">
        <v>22</v>
      </c>
    </row>
    <row r="414" spans="28:60">
      <c r="AB414" s="15"/>
      <c r="AC414" s="15" t="str">
        <f t="shared" si="17"/>
        <v>201–300до1500</v>
      </c>
      <c r="AD414" s="23" t="s">
        <v>197</v>
      </c>
      <c r="AE414" s="47" t="s">
        <v>235</v>
      </c>
      <c r="AF414" s="48">
        <v>1</v>
      </c>
      <c r="AI414" s="26"/>
      <c r="AJ414" s="9" t="str">
        <f t="shared" si="18"/>
        <v>201–3001801–2500</v>
      </c>
      <c r="AK414" s="28" t="s">
        <v>197</v>
      </c>
      <c r="AL414" s="27" t="s">
        <v>248</v>
      </c>
      <c r="AM414" s="27">
        <v>1</v>
      </c>
      <c r="AO414" s="28" t="s">
        <v>259</v>
      </c>
    </row>
    <row r="415" spans="28:60">
      <c r="AB415" s="15"/>
      <c r="AC415" s="15" t="str">
        <f t="shared" si="17"/>
        <v>201–3001501–2500</v>
      </c>
      <c r="AD415" s="23" t="s">
        <v>197</v>
      </c>
      <c r="AE415" s="47" t="s">
        <v>228</v>
      </c>
      <c r="AF415" s="48">
        <v>1.5</v>
      </c>
      <c r="AI415" s="26"/>
      <c r="AJ415" s="9" t="str">
        <f t="shared" si="18"/>
        <v>201–3002501–3500</v>
      </c>
      <c r="AK415" s="28" t="s">
        <v>197</v>
      </c>
      <c r="AL415" s="27" t="s">
        <v>229</v>
      </c>
      <c r="AM415" s="27">
        <v>1.25</v>
      </c>
    </row>
    <row r="416" spans="28:60">
      <c r="AB416" s="15"/>
      <c r="AC416" s="15" t="str">
        <f t="shared" si="17"/>
        <v>201–3002501–3500</v>
      </c>
      <c r="AD416" s="23" t="s">
        <v>197</v>
      </c>
      <c r="AE416" s="47" t="s">
        <v>229</v>
      </c>
      <c r="AF416" s="48">
        <v>1.75</v>
      </c>
      <c r="AI416" s="26"/>
      <c r="AJ416" s="9" t="str">
        <f t="shared" si="18"/>
        <v>301–400до 400</v>
      </c>
      <c r="AK416" s="28" t="s">
        <v>198</v>
      </c>
      <c r="AL416" s="27" t="s">
        <v>210</v>
      </c>
      <c r="AM416" s="27">
        <v>0.25</v>
      </c>
    </row>
    <row r="417" spans="28:39">
      <c r="AB417" s="15"/>
      <c r="AC417" s="15" t="str">
        <f t="shared" si="17"/>
        <v>201–3003501–4500</v>
      </c>
      <c r="AD417" s="23" t="s">
        <v>197</v>
      </c>
      <c r="AE417" s="47" t="s">
        <v>230</v>
      </c>
      <c r="AF417" s="48">
        <v>2</v>
      </c>
      <c r="AI417" s="26"/>
      <c r="AJ417" s="9" t="str">
        <f t="shared" si="18"/>
        <v>301–400401–600</v>
      </c>
      <c r="AK417" s="28" t="s">
        <v>198</v>
      </c>
      <c r="AL417" s="27" t="s">
        <v>209</v>
      </c>
      <c r="AM417" s="27">
        <v>0.5</v>
      </c>
    </row>
    <row r="418" spans="28:39">
      <c r="AB418" s="15"/>
      <c r="AC418" s="15" t="str">
        <f t="shared" si="17"/>
        <v>201–3004501–5500</v>
      </c>
      <c r="AD418" s="23" t="s">
        <v>197</v>
      </c>
      <c r="AE418" s="47" t="s">
        <v>231</v>
      </c>
      <c r="AF418" s="48">
        <v>2.25</v>
      </c>
      <c r="AI418" s="26"/>
      <c r="AJ418" s="9" t="str">
        <f t="shared" si="18"/>
        <v>301–400601–850</v>
      </c>
      <c r="AK418" s="28" t="s">
        <v>198</v>
      </c>
      <c r="AL418" s="27" t="s">
        <v>211</v>
      </c>
      <c r="AM418" s="27">
        <v>0.5</v>
      </c>
    </row>
    <row r="419" spans="28:39">
      <c r="AB419" s="15"/>
      <c r="AC419" s="15" t="str">
        <f t="shared" si="17"/>
        <v>201–3005501–6500</v>
      </c>
      <c r="AD419" s="23" t="s">
        <v>197</v>
      </c>
      <c r="AE419" s="47" t="s">
        <v>232</v>
      </c>
      <c r="AF419" s="48">
        <v>2.5</v>
      </c>
      <c r="AI419" s="26"/>
      <c r="AJ419" s="9" t="str">
        <f t="shared" si="18"/>
        <v>301–400851–1300</v>
      </c>
      <c r="AK419" s="28" t="s">
        <v>198</v>
      </c>
      <c r="AL419" s="27" t="s">
        <v>246</v>
      </c>
      <c r="AM419" s="27">
        <v>0.75</v>
      </c>
    </row>
    <row r="420" spans="28:39">
      <c r="AB420" s="15"/>
      <c r="AC420" s="15" t="str">
        <f t="shared" si="17"/>
        <v>201–3006501–7500</v>
      </c>
      <c r="AD420" s="23" t="s">
        <v>197</v>
      </c>
      <c r="AE420" s="47" t="s">
        <v>233</v>
      </c>
      <c r="AF420" s="48">
        <v>2.75</v>
      </c>
      <c r="AI420" s="26"/>
      <c r="AJ420" s="9" t="str">
        <f t="shared" si="18"/>
        <v>301–4001301–1800</v>
      </c>
      <c r="AK420" s="28" t="s">
        <v>198</v>
      </c>
      <c r="AL420" s="27" t="s">
        <v>247</v>
      </c>
      <c r="AM420" s="27">
        <v>1</v>
      </c>
    </row>
    <row r="421" spans="28:39">
      <c r="AB421" s="15"/>
      <c r="AC421" s="15" t="str">
        <f t="shared" si="17"/>
        <v>201–3007501–8500</v>
      </c>
      <c r="AD421" s="23" t="s">
        <v>197</v>
      </c>
      <c r="AE421" s="47" t="s">
        <v>234</v>
      </c>
      <c r="AF421" s="48">
        <v>3</v>
      </c>
      <c r="AJ421" s="9" t="str">
        <f t="shared" si="18"/>
        <v>301–4001801–2500</v>
      </c>
      <c r="AK421" s="28" t="s">
        <v>198</v>
      </c>
      <c r="AL421" s="27" t="s">
        <v>248</v>
      </c>
      <c r="AM421" s="27">
        <v>1</v>
      </c>
    </row>
    <row r="422" spans="28:39">
      <c r="AB422" s="15"/>
      <c r="AC422" s="15" t="str">
        <f t="shared" si="17"/>
        <v>201–3008501–9500</v>
      </c>
      <c r="AD422" s="23" t="s">
        <v>197</v>
      </c>
      <c r="AE422" s="47" t="s">
        <v>236</v>
      </c>
      <c r="AF422" s="48">
        <v>3.5</v>
      </c>
      <c r="AJ422" s="9" t="str">
        <f t="shared" si="18"/>
        <v>301–4002501–3500</v>
      </c>
      <c r="AK422" s="28" t="s">
        <v>198</v>
      </c>
      <c r="AL422" s="27" t="s">
        <v>229</v>
      </c>
      <c r="AM422" s="27">
        <v>1.25</v>
      </c>
    </row>
    <row r="423" spans="28:39">
      <c r="AB423" s="15"/>
      <c r="AC423" s="15" t="str">
        <f t="shared" si="17"/>
        <v>201–3009501–10500</v>
      </c>
      <c r="AD423" s="23" t="s">
        <v>197</v>
      </c>
      <c r="AE423" s="47" t="s">
        <v>237</v>
      </c>
      <c r="AF423" s="48">
        <v>3.75</v>
      </c>
      <c r="AJ423" s="9" t="str">
        <f t="shared" si="18"/>
        <v>301–4003501–5000</v>
      </c>
      <c r="AK423" s="28" t="s">
        <v>198</v>
      </c>
      <c r="AL423" s="27" t="s">
        <v>249</v>
      </c>
      <c r="AM423" s="27">
        <v>1.5</v>
      </c>
    </row>
    <row r="424" spans="28:39">
      <c r="AB424" s="15"/>
      <c r="AC424" s="15" t="str">
        <f t="shared" si="17"/>
        <v>301–400до1500</v>
      </c>
      <c r="AD424" s="23" t="s">
        <v>198</v>
      </c>
      <c r="AE424" s="47" t="s">
        <v>235</v>
      </c>
      <c r="AF424" s="48">
        <v>1.25</v>
      </c>
      <c r="AJ424" s="9" t="str">
        <f t="shared" si="18"/>
        <v>401–500до 400</v>
      </c>
      <c r="AK424" s="28" t="s">
        <v>199</v>
      </c>
      <c r="AL424" s="27" t="s">
        <v>210</v>
      </c>
      <c r="AM424" s="27">
        <v>0.5</v>
      </c>
    </row>
    <row r="425" spans="28:39">
      <c r="AB425" s="15"/>
      <c r="AC425" s="15" t="str">
        <f t="shared" si="17"/>
        <v>301–4001501–2500</v>
      </c>
      <c r="AD425" s="23" t="s">
        <v>198</v>
      </c>
      <c r="AE425" s="47" t="s">
        <v>228</v>
      </c>
      <c r="AF425" s="48">
        <v>1.5</v>
      </c>
      <c r="AJ425" s="9" t="str">
        <f t="shared" si="18"/>
        <v>401–500401–600</v>
      </c>
      <c r="AK425" s="28" t="s">
        <v>199</v>
      </c>
      <c r="AL425" s="27" t="s">
        <v>209</v>
      </c>
      <c r="AM425" s="27">
        <v>0.5</v>
      </c>
    </row>
    <row r="426" spans="28:39">
      <c r="AB426" s="15"/>
      <c r="AC426" s="15" t="str">
        <f t="shared" si="17"/>
        <v>301–4002501–3500</v>
      </c>
      <c r="AD426" s="23" t="s">
        <v>198</v>
      </c>
      <c r="AE426" s="47" t="s">
        <v>229</v>
      </c>
      <c r="AF426" s="48">
        <v>2</v>
      </c>
      <c r="AJ426" s="9" t="str">
        <f t="shared" si="18"/>
        <v>401–500601–850</v>
      </c>
      <c r="AK426" s="28" t="s">
        <v>199</v>
      </c>
      <c r="AL426" s="27" t="s">
        <v>211</v>
      </c>
      <c r="AM426" s="27">
        <v>0.75</v>
      </c>
    </row>
    <row r="427" spans="28:39">
      <c r="AB427" s="15"/>
      <c r="AC427" s="15" t="str">
        <f t="shared" si="17"/>
        <v>301–4003501–4500</v>
      </c>
      <c r="AD427" s="23" t="s">
        <v>198</v>
      </c>
      <c r="AE427" s="47" t="s">
        <v>230</v>
      </c>
      <c r="AF427" s="48">
        <v>2.25</v>
      </c>
      <c r="AJ427" s="9" t="str">
        <f t="shared" si="18"/>
        <v>401–500851–1300</v>
      </c>
      <c r="AK427" s="28" t="s">
        <v>199</v>
      </c>
      <c r="AL427" s="27" t="s">
        <v>246</v>
      </c>
      <c r="AM427" s="27">
        <v>0.75</v>
      </c>
    </row>
    <row r="428" spans="28:39">
      <c r="AB428" s="15"/>
      <c r="AC428" s="15" t="str">
        <f t="shared" si="17"/>
        <v>301–4004501–5500</v>
      </c>
      <c r="AD428" s="23" t="s">
        <v>198</v>
      </c>
      <c r="AE428" s="47" t="s">
        <v>231</v>
      </c>
      <c r="AF428" s="48">
        <v>2.5</v>
      </c>
      <c r="AJ428" s="9" t="str">
        <f t="shared" si="18"/>
        <v>401–5001301–1800</v>
      </c>
      <c r="AK428" s="28" t="s">
        <v>199</v>
      </c>
      <c r="AL428" s="27" t="s">
        <v>247</v>
      </c>
      <c r="AM428" s="27">
        <v>1</v>
      </c>
    </row>
    <row r="429" spans="28:39">
      <c r="AB429" s="15"/>
      <c r="AC429" s="15" t="str">
        <f t="shared" si="17"/>
        <v>301–4005501–6500</v>
      </c>
      <c r="AD429" s="23" t="s">
        <v>198</v>
      </c>
      <c r="AE429" s="47" t="s">
        <v>232</v>
      </c>
      <c r="AF429" s="48">
        <v>2.75</v>
      </c>
      <c r="AJ429" s="9" t="str">
        <f t="shared" si="18"/>
        <v>401–5001801–2500</v>
      </c>
      <c r="AK429" s="28" t="s">
        <v>199</v>
      </c>
      <c r="AL429" s="27" t="s">
        <v>248</v>
      </c>
      <c r="AM429" s="27">
        <v>1.25</v>
      </c>
    </row>
    <row r="430" spans="28:39">
      <c r="AB430" s="15"/>
      <c r="AC430" s="15" t="str">
        <f t="shared" si="17"/>
        <v>301–4006501–7500</v>
      </c>
      <c r="AD430" s="23" t="s">
        <v>198</v>
      </c>
      <c r="AE430" s="47" t="s">
        <v>233</v>
      </c>
      <c r="AF430" s="48">
        <v>3</v>
      </c>
      <c r="AJ430" s="9" t="str">
        <f t="shared" si="18"/>
        <v>401–5002501–3500</v>
      </c>
      <c r="AK430" s="28" t="s">
        <v>199</v>
      </c>
      <c r="AL430" s="27" t="s">
        <v>229</v>
      </c>
      <c r="AM430" s="27">
        <v>1.25</v>
      </c>
    </row>
    <row r="431" spans="28:39">
      <c r="AB431" s="15"/>
      <c r="AC431" s="15" t="str">
        <f t="shared" si="17"/>
        <v>301–4007501–8500</v>
      </c>
      <c r="AD431" s="23" t="s">
        <v>198</v>
      </c>
      <c r="AE431" s="47" t="s">
        <v>234</v>
      </c>
      <c r="AF431" s="48">
        <v>3.25</v>
      </c>
      <c r="AJ431" s="9" t="str">
        <f t="shared" si="18"/>
        <v>401–5003501–5000</v>
      </c>
      <c r="AK431" s="28" t="s">
        <v>199</v>
      </c>
      <c r="AL431" s="27" t="s">
        <v>249</v>
      </c>
      <c r="AM431" s="27">
        <v>1.5</v>
      </c>
    </row>
    <row r="432" spans="28:39">
      <c r="AB432" s="15"/>
      <c r="AC432" s="15" t="str">
        <f t="shared" si="17"/>
        <v>301–4008501–9500</v>
      </c>
      <c r="AD432" s="23" t="s">
        <v>198</v>
      </c>
      <c r="AE432" s="47" t="s">
        <v>236</v>
      </c>
      <c r="AF432" s="48">
        <v>3.75</v>
      </c>
      <c r="AJ432" s="9" t="str">
        <f t="shared" si="18"/>
        <v>401–5005001–7500</v>
      </c>
      <c r="AK432" s="28" t="s">
        <v>199</v>
      </c>
      <c r="AL432" s="27" t="s">
        <v>250</v>
      </c>
      <c r="AM432" s="27">
        <v>2</v>
      </c>
    </row>
    <row r="433" spans="28:39">
      <c r="AB433" s="15"/>
      <c r="AC433" s="15" t="str">
        <f t="shared" si="17"/>
        <v>301–4009501–10500</v>
      </c>
      <c r="AD433" s="23" t="s">
        <v>198</v>
      </c>
      <c r="AE433" s="47" t="s">
        <v>237</v>
      </c>
      <c r="AF433" s="48">
        <v>4</v>
      </c>
      <c r="AJ433" s="9" t="str">
        <f t="shared" si="18"/>
        <v>501–600до 400</v>
      </c>
      <c r="AK433" s="28" t="s">
        <v>200</v>
      </c>
      <c r="AL433" s="27" t="s">
        <v>210</v>
      </c>
      <c r="AM433" s="27">
        <v>0.5</v>
      </c>
    </row>
    <row r="434" spans="28:39">
      <c r="AB434" s="15"/>
      <c r="AC434" s="15" t="str">
        <f t="shared" si="17"/>
        <v>301–40010501–11500</v>
      </c>
      <c r="AD434" s="23" t="s">
        <v>198</v>
      </c>
      <c r="AE434" s="47" t="s">
        <v>238</v>
      </c>
      <c r="AF434" s="48">
        <v>4.25</v>
      </c>
      <c r="AJ434" s="9" t="str">
        <f t="shared" si="18"/>
        <v>501–600401–600</v>
      </c>
      <c r="AK434" s="28" t="s">
        <v>200</v>
      </c>
      <c r="AL434" s="27" t="s">
        <v>209</v>
      </c>
      <c r="AM434" s="27">
        <v>0.5</v>
      </c>
    </row>
    <row r="435" spans="28:39">
      <c r="AB435" s="15"/>
      <c r="AC435" s="15" t="str">
        <f t="shared" si="17"/>
        <v>401–500до1500</v>
      </c>
      <c r="AD435" s="23" t="s">
        <v>199</v>
      </c>
      <c r="AE435" s="47" t="s">
        <v>235</v>
      </c>
      <c r="AF435" s="48">
        <v>1.5</v>
      </c>
      <c r="AJ435" s="9" t="str">
        <f t="shared" si="18"/>
        <v>501–600601–850</v>
      </c>
      <c r="AK435" s="28" t="s">
        <v>200</v>
      </c>
      <c r="AL435" s="27" t="s">
        <v>211</v>
      </c>
      <c r="AM435" s="27">
        <v>0.75</v>
      </c>
    </row>
    <row r="436" spans="28:39">
      <c r="AB436" s="15"/>
      <c r="AC436" s="15" t="str">
        <f t="shared" si="17"/>
        <v>401–5001501–2500</v>
      </c>
      <c r="AD436" s="23" t="s">
        <v>199</v>
      </c>
      <c r="AE436" s="47" t="s">
        <v>228</v>
      </c>
      <c r="AF436" s="48">
        <v>2</v>
      </c>
      <c r="AJ436" s="9" t="str">
        <f t="shared" si="18"/>
        <v>501–600851–1300</v>
      </c>
      <c r="AK436" s="28" t="s">
        <v>200</v>
      </c>
      <c r="AL436" s="27" t="s">
        <v>246</v>
      </c>
      <c r="AM436" s="27">
        <v>1</v>
      </c>
    </row>
    <row r="437" spans="28:39">
      <c r="AB437" s="15"/>
      <c r="AC437" s="15" t="str">
        <f t="shared" si="17"/>
        <v>401–5002501–3500</v>
      </c>
      <c r="AD437" s="23" t="s">
        <v>199</v>
      </c>
      <c r="AE437" s="47" t="s">
        <v>229</v>
      </c>
      <c r="AF437" s="48">
        <v>2.25</v>
      </c>
      <c r="AJ437" s="9" t="str">
        <f t="shared" si="18"/>
        <v>501–6001301–1800</v>
      </c>
      <c r="AK437" s="28" t="s">
        <v>200</v>
      </c>
      <c r="AL437" s="27" t="s">
        <v>247</v>
      </c>
      <c r="AM437" s="27">
        <v>1</v>
      </c>
    </row>
    <row r="438" spans="28:39">
      <c r="AB438" s="15"/>
      <c r="AC438" s="15" t="str">
        <f t="shared" si="17"/>
        <v>401–5003501–4500</v>
      </c>
      <c r="AD438" s="23" t="s">
        <v>199</v>
      </c>
      <c r="AE438" s="47" t="s">
        <v>230</v>
      </c>
      <c r="AF438" s="48">
        <v>2.5</v>
      </c>
      <c r="AJ438" s="9" t="str">
        <f t="shared" si="18"/>
        <v>501–6001801–2500</v>
      </c>
      <c r="AK438" s="28" t="s">
        <v>200</v>
      </c>
      <c r="AL438" s="27" t="s">
        <v>248</v>
      </c>
      <c r="AM438" s="27">
        <v>1.25</v>
      </c>
    </row>
    <row r="439" spans="28:39">
      <c r="AB439" s="15"/>
      <c r="AC439" s="15" t="str">
        <f t="shared" si="17"/>
        <v>401–5004501–5500</v>
      </c>
      <c r="AD439" s="23" t="s">
        <v>199</v>
      </c>
      <c r="AE439" s="47" t="s">
        <v>231</v>
      </c>
      <c r="AF439" s="48">
        <v>2.75</v>
      </c>
      <c r="AJ439" s="9" t="str">
        <f t="shared" si="18"/>
        <v>501–6002501–3500</v>
      </c>
      <c r="AK439" s="28" t="s">
        <v>200</v>
      </c>
      <c r="AL439" s="27" t="s">
        <v>229</v>
      </c>
      <c r="AM439" s="27">
        <v>1.25</v>
      </c>
    </row>
    <row r="440" spans="28:39">
      <c r="AB440" s="15"/>
      <c r="AC440" s="15" t="str">
        <f t="shared" si="17"/>
        <v>401–5005501–6500</v>
      </c>
      <c r="AD440" s="23" t="s">
        <v>199</v>
      </c>
      <c r="AE440" s="47" t="s">
        <v>232</v>
      </c>
      <c r="AF440" s="48">
        <v>3</v>
      </c>
      <c r="AJ440" s="9" t="str">
        <f t="shared" si="18"/>
        <v>501–6003501–5000</v>
      </c>
      <c r="AK440" s="28" t="s">
        <v>200</v>
      </c>
      <c r="AL440" s="27" t="s">
        <v>249</v>
      </c>
      <c r="AM440" s="27">
        <v>1.5</v>
      </c>
    </row>
    <row r="441" spans="28:39">
      <c r="AB441" s="15"/>
      <c r="AC441" s="15" t="str">
        <f t="shared" si="17"/>
        <v>401–5006501–7500</v>
      </c>
      <c r="AD441" s="23" t="s">
        <v>199</v>
      </c>
      <c r="AE441" s="47" t="s">
        <v>233</v>
      </c>
      <c r="AF441" s="48">
        <v>3.25</v>
      </c>
      <c r="AJ441" s="9" t="str">
        <f t="shared" si="18"/>
        <v>501–6005001–7500</v>
      </c>
      <c r="AK441" s="28" t="s">
        <v>200</v>
      </c>
      <c r="AL441" s="27" t="s">
        <v>250</v>
      </c>
      <c r="AM441" s="27">
        <v>2</v>
      </c>
    </row>
    <row r="442" spans="28:39">
      <c r="AB442" s="15"/>
      <c r="AC442" s="15" t="str">
        <f t="shared" si="17"/>
        <v>401–5007501–8500</v>
      </c>
      <c r="AD442" s="23" t="s">
        <v>199</v>
      </c>
      <c r="AE442" s="47" t="s">
        <v>234</v>
      </c>
      <c r="AF442" s="48">
        <v>3.5</v>
      </c>
      <c r="AJ442" s="9" t="str">
        <f t="shared" si="18"/>
        <v>501–6007501–11200</v>
      </c>
      <c r="AK442" s="28" t="s">
        <v>200</v>
      </c>
      <c r="AL442" s="27" t="s">
        <v>251</v>
      </c>
      <c r="AM442" s="27">
        <v>3</v>
      </c>
    </row>
    <row r="443" spans="28:39">
      <c r="AB443" s="15"/>
      <c r="AC443" s="15" t="str">
        <f t="shared" si="17"/>
        <v>401–5008501–9500</v>
      </c>
      <c r="AD443" s="23" t="s">
        <v>199</v>
      </c>
      <c r="AE443" s="47" t="s">
        <v>236</v>
      </c>
      <c r="AF443" s="48">
        <v>4</v>
      </c>
      <c r="AJ443" s="9" t="str">
        <f t="shared" si="18"/>
        <v>601–700до 400</v>
      </c>
      <c r="AK443" s="28" t="s">
        <v>201</v>
      </c>
      <c r="AL443" s="27" t="s">
        <v>210</v>
      </c>
      <c r="AM443" s="27">
        <v>0.5</v>
      </c>
    </row>
    <row r="444" spans="28:39">
      <c r="AB444" s="15"/>
      <c r="AC444" s="15" t="str">
        <f t="shared" si="17"/>
        <v>401–5009501–10500</v>
      </c>
      <c r="AD444" s="23" t="s">
        <v>199</v>
      </c>
      <c r="AE444" s="47" t="s">
        <v>237</v>
      </c>
      <c r="AF444" s="48">
        <v>4.25</v>
      </c>
      <c r="AJ444" s="9" t="str">
        <f t="shared" si="18"/>
        <v>601–700401–600</v>
      </c>
      <c r="AK444" s="28" t="s">
        <v>201</v>
      </c>
      <c r="AL444" s="27" t="s">
        <v>209</v>
      </c>
      <c r="AM444" s="27">
        <v>0.75</v>
      </c>
    </row>
    <row r="445" spans="28:39">
      <c r="AB445" s="15"/>
      <c r="AC445" s="15" t="str">
        <f t="shared" si="17"/>
        <v>401–50010501–11500</v>
      </c>
      <c r="AD445" s="23" t="s">
        <v>199</v>
      </c>
      <c r="AE445" s="47" t="s">
        <v>238</v>
      </c>
      <c r="AF445" s="48">
        <v>4.5</v>
      </c>
      <c r="AJ445" s="9" t="str">
        <f t="shared" si="18"/>
        <v>601–700601–850</v>
      </c>
      <c r="AK445" s="28" t="s">
        <v>201</v>
      </c>
      <c r="AL445" s="27" t="s">
        <v>211</v>
      </c>
      <c r="AM445" s="27">
        <v>0.75</v>
      </c>
    </row>
    <row r="446" spans="28:39">
      <c r="AB446" s="15"/>
      <c r="AC446" s="15" t="str">
        <f t="shared" si="17"/>
        <v>401–50011501–13500</v>
      </c>
      <c r="AD446" s="23" t="s">
        <v>199</v>
      </c>
      <c r="AE446" s="47" t="s">
        <v>239</v>
      </c>
      <c r="AF446" s="48">
        <v>4.75</v>
      </c>
      <c r="AJ446" s="9" t="str">
        <f t="shared" si="18"/>
        <v>601–700851–1300</v>
      </c>
      <c r="AK446" s="28" t="s">
        <v>201</v>
      </c>
      <c r="AL446" s="27" t="s">
        <v>246</v>
      </c>
      <c r="AM446" s="27">
        <v>1</v>
      </c>
    </row>
    <row r="447" spans="28:39">
      <c r="AB447" s="15"/>
      <c r="AC447" s="15" t="str">
        <f t="shared" si="17"/>
        <v>501–600до1500</v>
      </c>
      <c r="AD447" s="23" t="s">
        <v>200</v>
      </c>
      <c r="AE447" s="47" t="s">
        <v>235</v>
      </c>
      <c r="AF447" s="48">
        <v>2</v>
      </c>
      <c r="AJ447" s="9" t="str">
        <f t="shared" si="18"/>
        <v>601–7001301–1800</v>
      </c>
      <c r="AK447" s="28" t="s">
        <v>201</v>
      </c>
      <c r="AL447" s="27" t="s">
        <v>247</v>
      </c>
      <c r="AM447" s="27">
        <v>1.25</v>
      </c>
    </row>
    <row r="448" spans="28:39">
      <c r="AB448" s="15"/>
      <c r="AC448" s="15" t="str">
        <f t="shared" si="17"/>
        <v>501–6001501–2500</v>
      </c>
      <c r="AD448" s="23" t="s">
        <v>200</v>
      </c>
      <c r="AE448" s="47" t="s">
        <v>228</v>
      </c>
      <c r="AF448" s="48">
        <v>2.25</v>
      </c>
      <c r="AJ448" s="9" t="str">
        <f t="shared" si="18"/>
        <v>601–7001801–2500</v>
      </c>
      <c r="AK448" s="28" t="s">
        <v>201</v>
      </c>
      <c r="AL448" s="27" t="s">
        <v>248</v>
      </c>
      <c r="AM448" s="27">
        <v>1.25</v>
      </c>
    </row>
    <row r="449" spans="28:39">
      <c r="AB449" s="15"/>
      <c r="AC449" s="15" t="str">
        <f t="shared" si="17"/>
        <v>501–6002501–3500</v>
      </c>
      <c r="AD449" s="23" t="s">
        <v>200</v>
      </c>
      <c r="AE449" s="47" t="s">
        <v>229</v>
      </c>
      <c r="AF449" s="48">
        <v>2.5</v>
      </c>
      <c r="AJ449" s="9" t="str">
        <f t="shared" si="18"/>
        <v>601–7002501–3500</v>
      </c>
      <c r="AK449" s="28" t="s">
        <v>201</v>
      </c>
      <c r="AL449" s="27" t="s">
        <v>229</v>
      </c>
      <c r="AM449" s="27">
        <v>1.5</v>
      </c>
    </row>
    <row r="450" spans="28:39">
      <c r="AB450" s="15"/>
      <c r="AC450" s="15" t="str">
        <f t="shared" si="17"/>
        <v>501–6003501–4500</v>
      </c>
      <c r="AD450" s="23" t="s">
        <v>200</v>
      </c>
      <c r="AE450" s="47" t="s">
        <v>230</v>
      </c>
      <c r="AF450" s="48">
        <v>2.75</v>
      </c>
      <c r="AJ450" s="9" t="str">
        <f t="shared" si="18"/>
        <v>601–7003501–5000</v>
      </c>
      <c r="AK450" s="28" t="s">
        <v>201</v>
      </c>
      <c r="AL450" s="27" t="s">
        <v>249</v>
      </c>
      <c r="AM450" s="27">
        <v>1.75</v>
      </c>
    </row>
    <row r="451" spans="28:39">
      <c r="AB451" s="15"/>
      <c r="AC451" s="15" t="str">
        <f t="shared" si="17"/>
        <v>501–6004501–5500</v>
      </c>
      <c r="AD451" s="23" t="s">
        <v>200</v>
      </c>
      <c r="AE451" s="47" t="s">
        <v>231</v>
      </c>
      <c r="AF451" s="48">
        <v>3</v>
      </c>
      <c r="AJ451" s="9" t="str">
        <f t="shared" si="18"/>
        <v>601–7005001–7500</v>
      </c>
      <c r="AK451" s="28" t="s">
        <v>201</v>
      </c>
      <c r="AL451" s="27" t="s">
        <v>250</v>
      </c>
      <c r="AM451" s="27">
        <v>2.25</v>
      </c>
    </row>
    <row r="452" spans="28:39">
      <c r="AB452" s="15"/>
      <c r="AC452" s="15" t="str">
        <f t="shared" si="17"/>
        <v>501–6005501–6500</v>
      </c>
      <c r="AD452" s="23" t="s">
        <v>200</v>
      </c>
      <c r="AE452" s="47" t="s">
        <v>232</v>
      </c>
      <c r="AF452" s="48">
        <v>3.25</v>
      </c>
      <c r="AJ452" s="9" t="str">
        <f t="shared" si="18"/>
        <v>601–7007501–11200</v>
      </c>
      <c r="AK452" s="28" t="s">
        <v>201</v>
      </c>
      <c r="AL452" s="27" t="s">
        <v>251</v>
      </c>
      <c r="AM452" s="27">
        <v>3</v>
      </c>
    </row>
    <row r="453" spans="28:39">
      <c r="AB453" s="15"/>
      <c r="AC453" s="15" t="str">
        <f t="shared" si="17"/>
        <v>501–6006501–7500</v>
      </c>
      <c r="AD453" s="23" t="s">
        <v>200</v>
      </c>
      <c r="AE453" s="47" t="s">
        <v>233</v>
      </c>
      <c r="AF453" s="48">
        <v>3.5</v>
      </c>
      <c r="AJ453" s="9" t="str">
        <f t="shared" si="18"/>
        <v>601–70011201–16800</v>
      </c>
      <c r="AK453" s="28" t="s">
        <v>201</v>
      </c>
      <c r="AL453" s="27" t="s">
        <v>252</v>
      </c>
      <c r="AM453" s="27">
        <v>4</v>
      </c>
    </row>
    <row r="454" spans="28:39">
      <c r="AB454" s="15"/>
      <c r="AC454" s="15" t="str">
        <f t="shared" si="17"/>
        <v>501–6007501–8500</v>
      </c>
      <c r="AD454" s="23" t="s">
        <v>200</v>
      </c>
      <c r="AE454" s="47" t="s">
        <v>234</v>
      </c>
      <c r="AF454" s="48">
        <v>3.75</v>
      </c>
      <c r="AJ454" s="9" t="str">
        <f t="shared" si="18"/>
        <v>701–800до 400</v>
      </c>
      <c r="AK454" s="28" t="s">
        <v>202</v>
      </c>
      <c r="AL454" s="27" t="s">
        <v>210</v>
      </c>
      <c r="AM454" s="27">
        <v>0.75</v>
      </c>
    </row>
    <row r="455" spans="28:39">
      <c r="AB455" s="15"/>
      <c r="AC455" s="15" t="str">
        <f t="shared" si="17"/>
        <v>501–6008501–9500</v>
      </c>
      <c r="AD455" s="23" t="s">
        <v>200</v>
      </c>
      <c r="AE455" s="47" t="s">
        <v>236</v>
      </c>
      <c r="AF455" s="48">
        <v>4.25</v>
      </c>
      <c r="AJ455" s="9" t="str">
        <f t="shared" si="18"/>
        <v>701–800401–600</v>
      </c>
      <c r="AK455" s="28" t="s">
        <v>202</v>
      </c>
      <c r="AL455" s="27" t="s">
        <v>209</v>
      </c>
      <c r="AM455" s="27">
        <v>0.75</v>
      </c>
    </row>
    <row r="456" spans="28:39">
      <c r="AB456" s="15"/>
      <c r="AC456" s="15" t="str">
        <f t="shared" si="17"/>
        <v>501–6009501–10500</v>
      </c>
      <c r="AD456" s="23" t="s">
        <v>200</v>
      </c>
      <c r="AE456" s="47" t="s">
        <v>237</v>
      </c>
      <c r="AF456" s="48">
        <v>4.5</v>
      </c>
      <c r="AJ456" s="9" t="str">
        <f t="shared" si="18"/>
        <v>701–800601–850</v>
      </c>
      <c r="AK456" s="28" t="s">
        <v>202</v>
      </c>
      <c r="AL456" s="27" t="s">
        <v>211</v>
      </c>
      <c r="AM456" s="27">
        <v>0.75</v>
      </c>
    </row>
    <row r="457" spans="28:39">
      <c r="AB457" s="15"/>
      <c r="AC457" s="15" t="str">
        <f t="shared" si="17"/>
        <v>501–60010501–11500</v>
      </c>
      <c r="AD457" s="23" t="s">
        <v>200</v>
      </c>
      <c r="AE457" s="47" t="s">
        <v>238</v>
      </c>
      <c r="AF457" s="48">
        <v>4.75</v>
      </c>
      <c r="AJ457" s="9" t="str">
        <f t="shared" si="18"/>
        <v>701–800851–1300</v>
      </c>
      <c r="AK457" s="28" t="s">
        <v>202</v>
      </c>
      <c r="AL457" s="27" t="s">
        <v>246</v>
      </c>
      <c r="AM457" s="27">
        <v>1</v>
      </c>
    </row>
    <row r="458" spans="28:39">
      <c r="AB458" s="15"/>
      <c r="AC458" s="15" t="str">
        <f t="shared" si="17"/>
        <v>501–60011501–13500</v>
      </c>
      <c r="AD458" s="23" t="s">
        <v>200</v>
      </c>
      <c r="AE458" s="47" t="s">
        <v>239</v>
      </c>
      <c r="AF458" s="48">
        <v>5</v>
      </c>
      <c r="AJ458" s="9" t="str">
        <f t="shared" si="18"/>
        <v>701–8001301–1800</v>
      </c>
      <c r="AK458" s="28" t="s">
        <v>202</v>
      </c>
      <c r="AL458" s="27" t="s">
        <v>247</v>
      </c>
      <c r="AM458" s="27">
        <v>1.25</v>
      </c>
    </row>
    <row r="459" spans="28:39">
      <c r="AB459" s="15"/>
      <c r="AC459" s="15" t="str">
        <f t="shared" si="17"/>
        <v>501–60013501–15500</v>
      </c>
      <c r="AD459" s="23" t="s">
        <v>200</v>
      </c>
      <c r="AE459" s="47" t="s">
        <v>240</v>
      </c>
      <c r="AF459" s="48">
        <v>5.25</v>
      </c>
      <c r="AJ459" s="9" t="str">
        <f t="shared" si="18"/>
        <v>701–8001801–2500</v>
      </c>
      <c r="AK459" s="28" t="s">
        <v>202</v>
      </c>
      <c r="AL459" s="27" t="s">
        <v>248</v>
      </c>
      <c r="AM459" s="27">
        <v>1.25</v>
      </c>
    </row>
    <row r="460" spans="28:39">
      <c r="AB460" s="15"/>
      <c r="AC460" s="15" t="str">
        <f t="shared" si="17"/>
        <v>601–700до1500</v>
      </c>
      <c r="AD460" s="23" t="s">
        <v>201</v>
      </c>
      <c r="AE460" s="48" t="s">
        <v>235</v>
      </c>
      <c r="AF460" s="48">
        <v>2.25</v>
      </c>
      <c r="AJ460" s="9" t="str">
        <f t="shared" si="18"/>
        <v>701–8002501–3500</v>
      </c>
      <c r="AK460" s="28" t="s">
        <v>202</v>
      </c>
      <c r="AL460" s="27" t="s">
        <v>229</v>
      </c>
      <c r="AM460" s="27">
        <v>1.5</v>
      </c>
    </row>
    <row r="461" spans="28:39">
      <c r="AB461" s="15"/>
      <c r="AC461" s="15" t="str">
        <f t="shared" si="17"/>
        <v>601–7001501–2500</v>
      </c>
      <c r="AD461" s="23" t="s">
        <v>201</v>
      </c>
      <c r="AE461" s="48" t="s">
        <v>228</v>
      </c>
      <c r="AF461" s="48">
        <v>2.5</v>
      </c>
      <c r="AJ461" s="9" t="str">
        <f t="shared" si="18"/>
        <v>701–8003501–5000</v>
      </c>
      <c r="AK461" s="28" t="s">
        <v>202</v>
      </c>
      <c r="AL461" s="27" t="s">
        <v>249</v>
      </c>
      <c r="AM461" s="27">
        <v>1.75</v>
      </c>
    </row>
    <row r="462" spans="28:39">
      <c r="AB462" s="15"/>
      <c r="AC462" s="15" t="str">
        <f t="shared" ref="AC462:AC525" si="19">CONCATENATE(AD462,AE462)</f>
        <v>601–7002501–3500</v>
      </c>
      <c r="AD462" s="23" t="s">
        <v>201</v>
      </c>
      <c r="AE462" s="48" t="s">
        <v>229</v>
      </c>
      <c r="AF462" s="48">
        <v>2.75</v>
      </c>
      <c r="AJ462" s="9" t="str">
        <f t="shared" si="18"/>
        <v>701–8005001–7500</v>
      </c>
      <c r="AK462" s="28" t="s">
        <v>202</v>
      </c>
      <c r="AL462" s="27" t="s">
        <v>250</v>
      </c>
      <c r="AM462" s="27">
        <v>2.25</v>
      </c>
    </row>
    <row r="463" spans="28:39">
      <c r="AB463" s="15"/>
      <c r="AC463" s="15" t="str">
        <f t="shared" si="19"/>
        <v>601–7003501–4500</v>
      </c>
      <c r="AD463" s="23" t="s">
        <v>201</v>
      </c>
      <c r="AE463" s="48" t="s">
        <v>230</v>
      </c>
      <c r="AF463" s="48">
        <v>3</v>
      </c>
      <c r="AJ463" s="9" t="str">
        <f t="shared" ref="AJ463:AJ526" si="20">CONCATENATE(AK463,AL463)</f>
        <v>701–8007501–11200</v>
      </c>
      <c r="AK463" s="28" t="s">
        <v>202</v>
      </c>
      <c r="AL463" s="27" t="s">
        <v>251</v>
      </c>
      <c r="AM463" s="27">
        <v>3.5</v>
      </c>
    </row>
    <row r="464" spans="28:39">
      <c r="AB464" s="15"/>
      <c r="AC464" s="15" t="str">
        <f t="shared" si="19"/>
        <v>601–7004501–5500</v>
      </c>
      <c r="AD464" s="23" t="s">
        <v>201</v>
      </c>
      <c r="AE464" s="48" t="s">
        <v>231</v>
      </c>
      <c r="AF464" s="48">
        <v>3.25</v>
      </c>
      <c r="AJ464" s="9" t="str">
        <f t="shared" si="20"/>
        <v>701–80011201–16800</v>
      </c>
      <c r="AK464" s="28" t="s">
        <v>202</v>
      </c>
      <c r="AL464" s="27" t="s">
        <v>252</v>
      </c>
      <c r="AM464" s="27">
        <v>4.5</v>
      </c>
    </row>
    <row r="465" spans="28:39">
      <c r="AB465" s="15"/>
      <c r="AC465" s="15" t="str">
        <f t="shared" si="19"/>
        <v>601–7005501–6500</v>
      </c>
      <c r="AD465" s="23" t="s">
        <v>201</v>
      </c>
      <c r="AE465" s="48" t="s">
        <v>232</v>
      </c>
      <c r="AF465" s="48">
        <v>3.5</v>
      </c>
      <c r="AJ465" s="9" t="str">
        <f t="shared" si="20"/>
        <v>701–80016801–25200</v>
      </c>
      <c r="AK465" s="28" t="s">
        <v>202</v>
      </c>
      <c r="AL465" s="27" t="s">
        <v>253</v>
      </c>
      <c r="AM465" s="27">
        <v>6</v>
      </c>
    </row>
    <row r="466" spans="28:39">
      <c r="AB466" s="15"/>
      <c r="AC466" s="15" t="str">
        <f t="shared" si="19"/>
        <v>601–7006501–7500</v>
      </c>
      <c r="AD466" s="23" t="s">
        <v>201</v>
      </c>
      <c r="AE466" s="48" t="s">
        <v>233</v>
      </c>
      <c r="AF466" s="48">
        <v>4</v>
      </c>
      <c r="AJ466" s="9" t="str">
        <f t="shared" si="20"/>
        <v>801–900401–600</v>
      </c>
      <c r="AK466" s="28" t="s">
        <v>203</v>
      </c>
      <c r="AL466" s="27" t="s">
        <v>209</v>
      </c>
      <c r="AM466" s="27">
        <v>0.75</v>
      </c>
    </row>
    <row r="467" spans="28:39">
      <c r="AB467" s="15"/>
      <c r="AC467" s="15" t="str">
        <f t="shared" si="19"/>
        <v>601–7007501–8500</v>
      </c>
      <c r="AD467" s="23" t="s">
        <v>201</v>
      </c>
      <c r="AE467" s="48" t="s">
        <v>234</v>
      </c>
      <c r="AF467" s="48">
        <v>4.25</v>
      </c>
      <c r="AJ467" s="9" t="str">
        <f t="shared" si="20"/>
        <v>801–900601–850</v>
      </c>
      <c r="AK467" s="28" t="s">
        <v>203</v>
      </c>
      <c r="AL467" s="27" t="s">
        <v>211</v>
      </c>
      <c r="AM467" s="27">
        <v>1</v>
      </c>
    </row>
    <row r="468" spans="28:39">
      <c r="AB468" s="15"/>
      <c r="AC468" s="15" t="str">
        <f t="shared" si="19"/>
        <v>601–7008501–9500</v>
      </c>
      <c r="AD468" s="23" t="s">
        <v>201</v>
      </c>
      <c r="AE468" s="48" t="s">
        <v>236</v>
      </c>
      <c r="AF468" s="48">
        <v>4.5</v>
      </c>
      <c r="AJ468" s="9" t="str">
        <f t="shared" si="20"/>
        <v>801–900851–1300</v>
      </c>
      <c r="AK468" s="28" t="s">
        <v>203</v>
      </c>
      <c r="AL468" s="27" t="s">
        <v>246</v>
      </c>
      <c r="AM468" s="27">
        <v>1</v>
      </c>
    </row>
    <row r="469" spans="28:39">
      <c r="AB469" s="15"/>
      <c r="AC469" s="15" t="str">
        <f t="shared" si="19"/>
        <v>601–7009501–10500</v>
      </c>
      <c r="AD469" s="23" t="s">
        <v>201</v>
      </c>
      <c r="AE469" s="48" t="s">
        <v>237</v>
      </c>
      <c r="AF469" s="48">
        <v>4.75</v>
      </c>
      <c r="AJ469" s="9" t="str">
        <f t="shared" si="20"/>
        <v>801–9001301–1800</v>
      </c>
      <c r="AK469" s="28" t="s">
        <v>203</v>
      </c>
      <c r="AL469" s="27" t="s">
        <v>247</v>
      </c>
      <c r="AM469" s="27">
        <v>1.25</v>
      </c>
    </row>
    <row r="470" spans="28:39">
      <c r="AB470" s="15"/>
      <c r="AC470" s="15" t="str">
        <f t="shared" si="19"/>
        <v>601–70010501–11500</v>
      </c>
      <c r="AD470" s="23" t="s">
        <v>201</v>
      </c>
      <c r="AE470" s="48" t="s">
        <v>238</v>
      </c>
      <c r="AF470" s="48">
        <v>5</v>
      </c>
      <c r="AJ470" s="9" t="str">
        <f t="shared" si="20"/>
        <v>801–9001801–2500</v>
      </c>
      <c r="AK470" s="28" t="s">
        <v>203</v>
      </c>
      <c r="AL470" s="27" t="s">
        <v>248</v>
      </c>
      <c r="AM470" s="27">
        <v>1.5</v>
      </c>
    </row>
    <row r="471" spans="28:39">
      <c r="AB471" s="15"/>
      <c r="AC471" s="15" t="str">
        <f t="shared" si="19"/>
        <v>601–70011501–13500</v>
      </c>
      <c r="AD471" s="23" t="s">
        <v>201</v>
      </c>
      <c r="AE471" s="48" t="s">
        <v>239</v>
      </c>
      <c r="AF471" s="48">
        <v>5.5</v>
      </c>
      <c r="AJ471" s="9" t="str">
        <f t="shared" si="20"/>
        <v>801–9002501–3500</v>
      </c>
      <c r="AK471" s="28" t="s">
        <v>203</v>
      </c>
      <c r="AL471" s="27" t="s">
        <v>229</v>
      </c>
      <c r="AM471" s="27">
        <v>1.5</v>
      </c>
    </row>
    <row r="472" spans="28:39">
      <c r="AB472" s="15"/>
      <c r="AC472" s="15" t="str">
        <f t="shared" si="19"/>
        <v>601–70013501–15500</v>
      </c>
      <c r="AD472" s="23" t="s">
        <v>201</v>
      </c>
      <c r="AE472" s="48" t="s">
        <v>240</v>
      </c>
      <c r="AF472" s="48">
        <v>6.25</v>
      </c>
      <c r="AJ472" s="9" t="str">
        <f t="shared" si="20"/>
        <v>801–9003501–5000</v>
      </c>
      <c r="AK472" s="28" t="s">
        <v>203</v>
      </c>
      <c r="AL472" s="27" t="s">
        <v>249</v>
      </c>
      <c r="AM472" s="27">
        <v>2</v>
      </c>
    </row>
    <row r="473" spans="28:39">
      <c r="AB473" s="15"/>
      <c r="AC473" s="15" t="str">
        <f t="shared" si="19"/>
        <v>701–80015501–17500</v>
      </c>
      <c r="AD473" s="23" t="s">
        <v>202</v>
      </c>
      <c r="AE473" s="48" t="s">
        <v>241</v>
      </c>
      <c r="AF473" s="48">
        <v>6.75</v>
      </c>
      <c r="AJ473" s="9" t="str">
        <f t="shared" si="20"/>
        <v>801–9005001–7500</v>
      </c>
      <c r="AK473" s="28" t="s">
        <v>203</v>
      </c>
      <c r="AL473" s="27" t="s">
        <v>250</v>
      </c>
      <c r="AM473" s="27">
        <v>2.5</v>
      </c>
    </row>
    <row r="474" spans="28:39">
      <c r="AB474" s="15"/>
      <c r="AC474" s="15" t="str">
        <f t="shared" si="19"/>
        <v>701–800до1500</v>
      </c>
      <c r="AD474" s="23" t="s">
        <v>202</v>
      </c>
      <c r="AE474" s="48" t="s">
        <v>235</v>
      </c>
      <c r="AF474" s="48">
        <v>2.5</v>
      </c>
      <c r="AJ474" s="9" t="str">
        <f t="shared" si="20"/>
        <v>801–9007501–11200</v>
      </c>
      <c r="AK474" s="28" t="s">
        <v>203</v>
      </c>
      <c r="AL474" s="27" t="s">
        <v>251</v>
      </c>
      <c r="AM474" s="27">
        <v>3.5</v>
      </c>
    </row>
    <row r="475" spans="28:39">
      <c r="AB475" s="15"/>
      <c r="AC475" s="15" t="str">
        <f t="shared" si="19"/>
        <v>701–8001501–2500</v>
      </c>
      <c r="AD475" s="23" t="s">
        <v>202</v>
      </c>
      <c r="AE475" s="47" t="s">
        <v>228</v>
      </c>
      <c r="AF475" s="48">
        <v>2.75</v>
      </c>
      <c r="AJ475" s="9" t="str">
        <f t="shared" si="20"/>
        <v>801–90011201–16800</v>
      </c>
      <c r="AK475" s="28" t="s">
        <v>203</v>
      </c>
      <c r="AL475" s="27" t="s">
        <v>252</v>
      </c>
      <c r="AM475" s="27">
        <v>4.75</v>
      </c>
    </row>
    <row r="476" spans="28:39">
      <c r="AB476" s="15"/>
      <c r="AC476" s="15" t="str">
        <f t="shared" si="19"/>
        <v>701–8002501–3500</v>
      </c>
      <c r="AD476" s="23" t="s">
        <v>202</v>
      </c>
      <c r="AE476" s="47" t="s">
        <v>229</v>
      </c>
      <c r="AF476" s="48">
        <v>3</v>
      </c>
      <c r="AJ476" s="9" t="str">
        <f t="shared" si="20"/>
        <v>801–90016801–25200</v>
      </c>
      <c r="AK476" s="28" t="s">
        <v>203</v>
      </c>
      <c r="AL476" s="27" t="s">
        <v>253</v>
      </c>
      <c r="AM476" s="27">
        <v>6.25</v>
      </c>
    </row>
    <row r="477" spans="28:39">
      <c r="AB477" s="15"/>
      <c r="AC477" s="15" t="str">
        <f t="shared" si="19"/>
        <v>701–8003501–4500</v>
      </c>
      <c r="AD477" s="23" t="s">
        <v>202</v>
      </c>
      <c r="AE477" s="47" t="s">
        <v>230</v>
      </c>
      <c r="AF477" s="48">
        <v>3.25</v>
      </c>
      <c r="AJ477" s="9" t="str">
        <f t="shared" si="20"/>
        <v>801–90025201–37800</v>
      </c>
      <c r="AK477" s="28" t="s">
        <v>203</v>
      </c>
      <c r="AL477" s="27" t="s">
        <v>254</v>
      </c>
      <c r="AM477" s="27">
        <v>8</v>
      </c>
    </row>
    <row r="478" spans="28:39">
      <c r="AB478" s="15"/>
      <c r="AC478" s="15" t="str">
        <f t="shared" si="19"/>
        <v>701–8004501–5500</v>
      </c>
      <c r="AD478" s="23" t="s">
        <v>202</v>
      </c>
      <c r="AE478" s="47" t="s">
        <v>231</v>
      </c>
      <c r="AF478" s="48">
        <v>3.5</v>
      </c>
      <c r="AJ478" s="9" t="str">
        <f t="shared" si="20"/>
        <v>901–1000601–850</v>
      </c>
      <c r="AK478" s="28" t="s">
        <v>256</v>
      </c>
      <c r="AL478" s="27" t="s">
        <v>211</v>
      </c>
      <c r="AM478" s="27">
        <v>1</v>
      </c>
    </row>
    <row r="479" spans="28:39">
      <c r="AB479" s="15"/>
      <c r="AC479" s="15" t="str">
        <f t="shared" si="19"/>
        <v>701–8005501–6500</v>
      </c>
      <c r="AD479" s="23" t="s">
        <v>202</v>
      </c>
      <c r="AE479" s="47" t="s">
        <v>232</v>
      </c>
      <c r="AF479" s="48">
        <v>4</v>
      </c>
      <c r="AJ479" s="9" t="str">
        <f t="shared" si="20"/>
        <v>901–1000851–1300</v>
      </c>
      <c r="AK479" s="28" t="s">
        <v>256</v>
      </c>
      <c r="AL479" s="27" t="s">
        <v>246</v>
      </c>
      <c r="AM479" s="27">
        <v>1.25</v>
      </c>
    </row>
    <row r="480" spans="28:39">
      <c r="AB480" s="15"/>
      <c r="AC480" s="15" t="str">
        <f t="shared" si="19"/>
        <v>701–8006501–7500</v>
      </c>
      <c r="AD480" s="23" t="s">
        <v>202</v>
      </c>
      <c r="AE480" s="47" t="s">
        <v>233</v>
      </c>
      <c r="AF480" s="48">
        <v>4.25</v>
      </c>
      <c r="AJ480" s="9" t="str">
        <f t="shared" si="20"/>
        <v>901–10001301–1800</v>
      </c>
      <c r="AK480" s="28" t="s">
        <v>256</v>
      </c>
      <c r="AL480" s="27" t="s">
        <v>247</v>
      </c>
      <c r="AM480" s="27">
        <v>1.25</v>
      </c>
    </row>
    <row r="481" spans="28:39">
      <c r="AB481" s="15"/>
      <c r="AC481" s="15" t="str">
        <f t="shared" si="19"/>
        <v>701–8007501–8500</v>
      </c>
      <c r="AD481" s="23" t="s">
        <v>202</v>
      </c>
      <c r="AE481" s="47" t="s">
        <v>234</v>
      </c>
      <c r="AF481" s="48">
        <v>4.5</v>
      </c>
      <c r="AJ481" s="9" t="str">
        <f t="shared" si="20"/>
        <v>901–10001801–2500</v>
      </c>
      <c r="AK481" s="28" t="s">
        <v>256</v>
      </c>
      <c r="AL481" s="27" t="s">
        <v>248</v>
      </c>
      <c r="AM481" s="27">
        <v>1.5</v>
      </c>
    </row>
    <row r="482" spans="28:39">
      <c r="AB482" s="15"/>
      <c r="AC482" s="15" t="str">
        <f t="shared" si="19"/>
        <v>701–8008501–9500</v>
      </c>
      <c r="AD482" s="23" t="s">
        <v>202</v>
      </c>
      <c r="AE482" s="47" t="s">
        <v>236</v>
      </c>
      <c r="AF482" s="48">
        <v>4.75</v>
      </c>
      <c r="AJ482" s="9" t="str">
        <f t="shared" si="20"/>
        <v>901–10002501–3500</v>
      </c>
      <c r="AK482" s="28" t="s">
        <v>256</v>
      </c>
      <c r="AL482" s="27" t="s">
        <v>229</v>
      </c>
      <c r="AM482" s="27">
        <v>1.5</v>
      </c>
    </row>
    <row r="483" spans="28:39">
      <c r="AB483" s="15"/>
      <c r="AC483" s="15" t="str">
        <f t="shared" si="19"/>
        <v>701–8009501–10500</v>
      </c>
      <c r="AD483" s="23" t="s">
        <v>202</v>
      </c>
      <c r="AE483" s="47" t="s">
        <v>237</v>
      </c>
      <c r="AF483" s="48">
        <v>5.25</v>
      </c>
      <c r="AJ483" s="9" t="str">
        <f t="shared" si="20"/>
        <v>901–10003501–5000</v>
      </c>
      <c r="AK483" s="28" t="s">
        <v>256</v>
      </c>
      <c r="AL483" s="27" t="s">
        <v>249</v>
      </c>
      <c r="AM483" s="27">
        <v>2</v>
      </c>
    </row>
    <row r="484" spans="28:39">
      <c r="AB484" s="15"/>
      <c r="AC484" s="15" t="str">
        <f t="shared" si="19"/>
        <v>701–80010501–11500</v>
      </c>
      <c r="AD484" s="23" t="s">
        <v>202</v>
      </c>
      <c r="AE484" s="47" t="s">
        <v>238</v>
      </c>
      <c r="AF484" s="48">
        <v>5.5</v>
      </c>
      <c r="AJ484" s="9" t="str">
        <f t="shared" si="20"/>
        <v>901–10005001–7500</v>
      </c>
      <c r="AK484" s="28" t="s">
        <v>256</v>
      </c>
      <c r="AL484" s="27" t="s">
        <v>250</v>
      </c>
      <c r="AM484" s="27">
        <v>2.5</v>
      </c>
    </row>
    <row r="485" spans="28:39">
      <c r="AB485" s="15"/>
      <c r="AC485" s="15" t="str">
        <f t="shared" si="19"/>
        <v>701–80011501–13500</v>
      </c>
      <c r="AD485" s="23" t="s">
        <v>202</v>
      </c>
      <c r="AE485" s="47" t="s">
        <v>239</v>
      </c>
      <c r="AF485" s="48">
        <v>5.75</v>
      </c>
      <c r="AJ485" s="9" t="str">
        <f t="shared" si="20"/>
        <v>901–10007501–11200</v>
      </c>
      <c r="AK485" s="28" t="s">
        <v>256</v>
      </c>
      <c r="AL485" s="27" t="s">
        <v>251</v>
      </c>
      <c r="AM485" s="27">
        <v>3.75</v>
      </c>
    </row>
    <row r="486" spans="28:39">
      <c r="AB486" s="15"/>
      <c r="AC486" s="15" t="str">
        <f t="shared" si="19"/>
        <v>701–80013501–15500</v>
      </c>
      <c r="AD486" s="23" t="s">
        <v>202</v>
      </c>
      <c r="AE486" s="47" t="s">
        <v>240</v>
      </c>
      <c r="AF486" s="48">
        <v>6.75</v>
      </c>
      <c r="AJ486" s="9" t="str">
        <f t="shared" si="20"/>
        <v>901–100011201–16800</v>
      </c>
      <c r="AK486" s="28" t="s">
        <v>256</v>
      </c>
      <c r="AL486" s="27" t="s">
        <v>252</v>
      </c>
      <c r="AM486" s="27">
        <v>4.75</v>
      </c>
    </row>
    <row r="487" spans="28:39">
      <c r="AB487" s="15"/>
      <c r="AC487" s="15" t="str">
        <f t="shared" si="19"/>
        <v>701–80015501–17500</v>
      </c>
      <c r="AD487" s="23" t="s">
        <v>202</v>
      </c>
      <c r="AE487" s="47" t="s">
        <v>241</v>
      </c>
      <c r="AF487" s="48">
        <v>7.5</v>
      </c>
      <c r="AJ487" s="9" t="str">
        <f t="shared" si="20"/>
        <v>901–100016801–25200</v>
      </c>
      <c r="AK487" s="28" t="s">
        <v>256</v>
      </c>
      <c r="AL487" s="27" t="s">
        <v>253</v>
      </c>
      <c r="AM487" s="27">
        <v>6.5</v>
      </c>
    </row>
    <row r="488" spans="28:39">
      <c r="AB488" s="15"/>
      <c r="AC488" s="15" t="str">
        <f t="shared" si="19"/>
        <v>701–80017501–19500</v>
      </c>
      <c r="AD488" s="23" t="s">
        <v>202</v>
      </c>
      <c r="AE488" s="47" t="s">
        <v>242</v>
      </c>
      <c r="AF488" s="48">
        <v>8.25</v>
      </c>
      <c r="AJ488" s="9" t="str">
        <f t="shared" si="20"/>
        <v>901–100025201–37800</v>
      </c>
      <c r="AK488" s="28" t="s">
        <v>256</v>
      </c>
      <c r="AL488" s="27" t="s">
        <v>254</v>
      </c>
      <c r="AM488" s="27">
        <v>8.25</v>
      </c>
    </row>
    <row r="489" spans="28:39">
      <c r="AB489" s="15"/>
      <c r="AC489" s="15" t="str">
        <f t="shared" si="19"/>
        <v>801–9001501–2500</v>
      </c>
      <c r="AD489" s="23" t="s">
        <v>203</v>
      </c>
      <c r="AE489" s="47" t="s">
        <v>228</v>
      </c>
      <c r="AF489" s="48">
        <v>3</v>
      </c>
      <c r="AJ489" s="9" t="str">
        <f t="shared" si="20"/>
        <v>901–100037801–56700</v>
      </c>
      <c r="AK489" s="28" t="s">
        <v>256</v>
      </c>
      <c r="AL489" s="27" t="s">
        <v>255</v>
      </c>
      <c r="AM489" s="27">
        <v>10.5</v>
      </c>
    </row>
    <row r="490" spans="28:39">
      <c r="AB490" s="15"/>
      <c r="AC490" s="15" t="str">
        <f t="shared" si="19"/>
        <v>801–9002501–3500</v>
      </c>
      <c r="AD490" s="23" t="s">
        <v>203</v>
      </c>
      <c r="AE490" s="47" t="s">
        <v>229</v>
      </c>
      <c r="AF490" s="48">
        <v>3.25</v>
      </c>
      <c r="AJ490" s="9" t="str">
        <f t="shared" si="20"/>
        <v>1001–1100851–1300</v>
      </c>
      <c r="AK490" s="28" t="s">
        <v>257</v>
      </c>
      <c r="AL490" s="27" t="s">
        <v>246</v>
      </c>
      <c r="AM490" s="27">
        <v>1.25</v>
      </c>
    </row>
    <row r="491" spans="28:39">
      <c r="AB491" s="15"/>
      <c r="AC491" s="15" t="str">
        <f t="shared" si="19"/>
        <v>801–9003501–4500</v>
      </c>
      <c r="AD491" s="23" t="s">
        <v>203</v>
      </c>
      <c r="AE491" s="47" t="s">
        <v>230</v>
      </c>
      <c r="AF491" s="48">
        <v>3.5</v>
      </c>
      <c r="AJ491" s="9" t="str">
        <f t="shared" si="20"/>
        <v>1001–11001301–1800</v>
      </c>
      <c r="AK491" s="28" t="s">
        <v>257</v>
      </c>
      <c r="AL491" s="27" t="s">
        <v>247</v>
      </c>
      <c r="AM491" s="27">
        <v>1.5</v>
      </c>
    </row>
    <row r="492" spans="28:39">
      <c r="AB492" s="15"/>
      <c r="AC492" s="15" t="str">
        <f t="shared" si="19"/>
        <v>801–9004501–5500</v>
      </c>
      <c r="AD492" s="23" t="s">
        <v>203</v>
      </c>
      <c r="AE492" s="47" t="s">
        <v>231</v>
      </c>
      <c r="AF492" s="48">
        <v>3.75</v>
      </c>
      <c r="AJ492" s="9" t="str">
        <f t="shared" si="20"/>
        <v>1001–11001801–2500</v>
      </c>
      <c r="AK492" s="28" t="s">
        <v>257</v>
      </c>
      <c r="AL492" s="27" t="s">
        <v>248</v>
      </c>
      <c r="AM492" s="27">
        <v>1.5</v>
      </c>
    </row>
    <row r="493" spans="28:39">
      <c r="AB493" s="15"/>
      <c r="AC493" s="15" t="str">
        <f t="shared" si="19"/>
        <v>801–9005501–6500</v>
      </c>
      <c r="AD493" s="23" t="s">
        <v>203</v>
      </c>
      <c r="AE493" s="47" t="s">
        <v>232</v>
      </c>
      <c r="AF493" s="48">
        <v>4.25</v>
      </c>
      <c r="AJ493" s="9" t="str">
        <f t="shared" si="20"/>
        <v>1001–11002501–3500</v>
      </c>
      <c r="AK493" s="28" t="s">
        <v>257</v>
      </c>
      <c r="AL493" s="27" t="s">
        <v>229</v>
      </c>
      <c r="AM493" s="27">
        <v>1.75</v>
      </c>
    </row>
    <row r="494" spans="28:39">
      <c r="AB494" s="15"/>
      <c r="AC494" s="15" t="str">
        <f t="shared" si="19"/>
        <v>801–9006501–7500</v>
      </c>
      <c r="AD494" s="23" t="s">
        <v>203</v>
      </c>
      <c r="AE494" s="47" t="s">
        <v>233</v>
      </c>
      <c r="AF494" s="48">
        <v>4.5</v>
      </c>
      <c r="AJ494" s="9" t="str">
        <f t="shared" si="20"/>
        <v>1001–11003501–5000</v>
      </c>
      <c r="AK494" s="28" t="s">
        <v>257</v>
      </c>
      <c r="AL494" s="27" t="s">
        <v>249</v>
      </c>
      <c r="AM494" s="27">
        <v>2</v>
      </c>
    </row>
    <row r="495" spans="28:39">
      <c r="AB495" s="15"/>
      <c r="AC495" s="15" t="str">
        <f t="shared" si="19"/>
        <v>801–9007501–8500</v>
      </c>
      <c r="AD495" s="23" t="s">
        <v>203</v>
      </c>
      <c r="AE495" s="47" t="s">
        <v>234</v>
      </c>
      <c r="AF495" s="48">
        <v>4.75</v>
      </c>
      <c r="AJ495" s="9" t="str">
        <f t="shared" si="20"/>
        <v>1001–11005001–7500</v>
      </c>
      <c r="AK495" s="28" t="s">
        <v>257</v>
      </c>
      <c r="AL495" s="27" t="s">
        <v>250</v>
      </c>
      <c r="AM495" s="27">
        <v>2.75</v>
      </c>
    </row>
    <row r="496" spans="28:39">
      <c r="AB496" s="15"/>
      <c r="AC496" s="15" t="str">
        <f t="shared" si="19"/>
        <v>801–9008501–9500</v>
      </c>
      <c r="AD496" s="23" t="s">
        <v>203</v>
      </c>
      <c r="AE496" s="47" t="s">
        <v>236</v>
      </c>
      <c r="AF496" s="48">
        <v>5</v>
      </c>
      <c r="AJ496" s="9" t="str">
        <f t="shared" si="20"/>
        <v>1001–11007501–11200</v>
      </c>
      <c r="AK496" s="28" t="s">
        <v>257</v>
      </c>
      <c r="AL496" s="27" t="s">
        <v>251</v>
      </c>
      <c r="AM496" s="27">
        <v>3.75</v>
      </c>
    </row>
    <row r="497" spans="28:39">
      <c r="AB497" s="15"/>
      <c r="AC497" s="15" t="str">
        <f t="shared" si="19"/>
        <v>801–9009501–10500</v>
      </c>
      <c r="AD497" s="23" t="s">
        <v>203</v>
      </c>
      <c r="AE497" s="47" t="s">
        <v>237</v>
      </c>
      <c r="AF497" s="48">
        <v>5.5</v>
      </c>
      <c r="AJ497" s="9" t="str">
        <f t="shared" si="20"/>
        <v>1001–110011201–16800</v>
      </c>
      <c r="AK497" s="28" t="s">
        <v>257</v>
      </c>
      <c r="AL497" s="27" t="s">
        <v>252</v>
      </c>
      <c r="AM497" s="27">
        <v>5</v>
      </c>
    </row>
    <row r="498" spans="28:39">
      <c r="AB498" s="15"/>
      <c r="AC498" s="15" t="str">
        <f t="shared" si="19"/>
        <v>801–90010501–11500</v>
      </c>
      <c r="AD498" s="23" t="s">
        <v>203</v>
      </c>
      <c r="AE498" s="47" t="s">
        <v>238</v>
      </c>
      <c r="AF498" s="48">
        <v>5.75</v>
      </c>
      <c r="AJ498" s="9" t="str">
        <f t="shared" si="20"/>
        <v>1001–110016801–25200</v>
      </c>
      <c r="AK498" s="28" t="s">
        <v>257</v>
      </c>
      <c r="AL498" s="27" t="s">
        <v>253</v>
      </c>
      <c r="AM498" s="27">
        <v>6.5</v>
      </c>
    </row>
    <row r="499" spans="28:39">
      <c r="AB499" s="15"/>
      <c r="AC499" s="15" t="str">
        <f t="shared" si="19"/>
        <v>801–90011501–13500</v>
      </c>
      <c r="AD499" s="23" t="s">
        <v>203</v>
      </c>
      <c r="AE499" s="47" t="s">
        <v>239</v>
      </c>
      <c r="AF499" s="48">
        <v>6</v>
      </c>
      <c r="AJ499" s="9" t="str">
        <f t="shared" si="20"/>
        <v>1001–110025201–37800</v>
      </c>
      <c r="AK499" s="28" t="s">
        <v>257</v>
      </c>
      <c r="AL499" s="27" t="s">
        <v>254</v>
      </c>
      <c r="AM499" s="27">
        <v>8.5</v>
      </c>
    </row>
    <row r="500" spans="28:39">
      <c r="AB500" s="15"/>
      <c r="AC500" s="15" t="str">
        <f t="shared" si="19"/>
        <v>801–90013501–15500</v>
      </c>
      <c r="AD500" s="23" t="s">
        <v>203</v>
      </c>
      <c r="AE500" s="47" t="s">
        <v>240</v>
      </c>
      <c r="AF500" s="48">
        <v>7.25</v>
      </c>
      <c r="AJ500" s="9" t="str">
        <f t="shared" si="20"/>
        <v>1001–110037801–56700</v>
      </c>
      <c r="AK500" s="28" t="s">
        <v>257</v>
      </c>
      <c r="AL500" s="27" t="s">
        <v>255</v>
      </c>
      <c r="AM500" s="27">
        <v>10.75</v>
      </c>
    </row>
    <row r="501" spans="28:39">
      <c r="AB501" s="15"/>
      <c r="AC501" s="15" t="str">
        <f t="shared" si="19"/>
        <v>801–90015501–17500</v>
      </c>
      <c r="AD501" s="23" t="s">
        <v>203</v>
      </c>
      <c r="AE501" s="47" t="s">
        <v>241</v>
      </c>
      <c r="AF501" s="48">
        <v>8.25</v>
      </c>
      <c r="AJ501" s="9" t="str">
        <f t="shared" si="20"/>
        <v>1101–15001301–1800</v>
      </c>
      <c r="AK501" s="28" t="s">
        <v>258</v>
      </c>
      <c r="AL501" s="27" t="s">
        <v>247</v>
      </c>
      <c r="AM501" s="27">
        <v>1.5</v>
      </c>
    </row>
    <row r="502" spans="28:39">
      <c r="AB502" s="15"/>
      <c r="AC502" s="15" t="str">
        <f t="shared" si="19"/>
        <v>801–90017501–19500</v>
      </c>
      <c r="AD502" s="23" t="s">
        <v>203</v>
      </c>
      <c r="AE502" s="47" t="s">
        <v>242</v>
      </c>
      <c r="AF502" s="48">
        <v>8.5</v>
      </c>
      <c r="AJ502" s="9" t="str">
        <f t="shared" si="20"/>
        <v>1101–15001801–2500</v>
      </c>
      <c r="AK502" s="28" t="s">
        <v>258</v>
      </c>
      <c r="AL502" s="27" t="s">
        <v>248</v>
      </c>
      <c r="AM502" s="27">
        <v>1.5</v>
      </c>
    </row>
    <row r="503" spans="28:39">
      <c r="AB503" s="15"/>
      <c r="AC503" s="15" t="str">
        <f t="shared" si="19"/>
        <v>801–90019501–21500</v>
      </c>
      <c r="AD503" s="23" t="s">
        <v>203</v>
      </c>
      <c r="AE503" s="47" t="s">
        <v>243</v>
      </c>
      <c r="AF503" s="48">
        <v>9</v>
      </c>
      <c r="AJ503" s="9" t="str">
        <f t="shared" si="20"/>
        <v>1101–15002501–3500</v>
      </c>
      <c r="AK503" s="28" t="s">
        <v>258</v>
      </c>
      <c r="AL503" s="27" t="s">
        <v>229</v>
      </c>
      <c r="AM503" s="27">
        <v>1.75</v>
      </c>
    </row>
    <row r="504" spans="28:39">
      <c r="AB504" s="15"/>
      <c r="AC504" s="15" t="str">
        <f t="shared" si="19"/>
        <v>901–10002501–3500</v>
      </c>
      <c r="AD504" s="23" t="s">
        <v>256</v>
      </c>
      <c r="AE504" s="47" t="s">
        <v>229</v>
      </c>
      <c r="AF504" s="48">
        <v>3.5</v>
      </c>
      <c r="AJ504" s="9" t="str">
        <f t="shared" si="20"/>
        <v>1101–15003501–5000</v>
      </c>
      <c r="AK504" s="28" t="s">
        <v>258</v>
      </c>
      <c r="AL504" s="27" t="s">
        <v>249</v>
      </c>
      <c r="AM504" s="27">
        <v>2.25</v>
      </c>
    </row>
    <row r="505" spans="28:39">
      <c r="AB505" s="15"/>
      <c r="AC505" s="15" t="str">
        <f t="shared" si="19"/>
        <v>901–10003501–4500</v>
      </c>
      <c r="AD505" s="23" t="s">
        <v>256</v>
      </c>
      <c r="AE505" s="47" t="s">
        <v>230</v>
      </c>
      <c r="AF505" s="48">
        <v>3.75</v>
      </c>
      <c r="AJ505" s="9" t="str">
        <f t="shared" si="20"/>
        <v>1101–15005001–7500</v>
      </c>
      <c r="AK505" s="28" t="s">
        <v>258</v>
      </c>
      <c r="AL505" s="27" t="s">
        <v>250</v>
      </c>
      <c r="AM505" s="27">
        <v>2.75</v>
      </c>
    </row>
    <row r="506" spans="28:39">
      <c r="AB506" s="15"/>
      <c r="AC506" s="15" t="str">
        <f t="shared" si="19"/>
        <v>901–10004501–5500</v>
      </c>
      <c r="AD506" s="23" t="s">
        <v>256</v>
      </c>
      <c r="AE506" s="47" t="s">
        <v>231</v>
      </c>
      <c r="AF506" s="48">
        <v>4</v>
      </c>
      <c r="AJ506" s="9" t="str">
        <f t="shared" si="20"/>
        <v>1101–15007501–11200</v>
      </c>
      <c r="AK506" s="28" t="s">
        <v>258</v>
      </c>
      <c r="AL506" s="27" t="s">
        <v>251</v>
      </c>
      <c r="AM506" s="27">
        <v>4</v>
      </c>
    </row>
    <row r="507" spans="28:39">
      <c r="AB507" s="15"/>
      <c r="AC507" s="15" t="str">
        <f t="shared" si="19"/>
        <v>901–10005501–6500</v>
      </c>
      <c r="AD507" s="23" t="s">
        <v>256</v>
      </c>
      <c r="AE507" s="47" t="s">
        <v>232</v>
      </c>
      <c r="AF507" s="48">
        <v>4.5</v>
      </c>
      <c r="AJ507" s="9" t="str">
        <f t="shared" si="20"/>
        <v>1101–150011201–16800</v>
      </c>
      <c r="AK507" s="28" t="s">
        <v>258</v>
      </c>
      <c r="AL507" s="27" t="s">
        <v>252</v>
      </c>
      <c r="AM507" s="27">
        <v>5.25</v>
      </c>
    </row>
    <row r="508" spans="28:39">
      <c r="AB508" s="15"/>
      <c r="AC508" s="15" t="str">
        <f t="shared" si="19"/>
        <v>901–10006501–7500</v>
      </c>
      <c r="AD508" s="23" t="s">
        <v>256</v>
      </c>
      <c r="AE508" s="47" t="s">
        <v>233</v>
      </c>
      <c r="AF508" s="48">
        <v>4.75</v>
      </c>
      <c r="AJ508" s="9" t="str">
        <f t="shared" si="20"/>
        <v>1101–150016801–25200</v>
      </c>
      <c r="AK508" s="28" t="s">
        <v>258</v>
      </c>
      <c r="AL508" s="27" t="s">
        <v>253</v>
      </c>
      <c r="AM508" s="27">
        <v>6.75</v>
      </c>
    </row>
    <row r="509" spans="28:39">
      <c r="AB509" s="15"/>
      <c r="AC509" s="15" t="str">
        <f t="shared" si="19"/>
        <v>901–10007501–8500</v>
      </c>
      <c r="AD509" s="23" t="s">
        <v>256</v>
      </c>
      <c r="AE509" s="47" t="s">
        <v>234</v>
      </c>
      <c r="AF509" s="48">
        <v>5</v>
      </c>
      <c r="AJ509" s="9" t="str">
        <f t="shared" si="20"/>
        <v>1101–150025201–37800</v>
      </c>
      <c r="AK509" s="28" t="s">
        <v>258</v>
      </c>
      <c r="AL509" s="27" t="s">
        <v>254</v>
      </c>
      <c r="AM509" s="27">
        <v>8.75</v>
      </c>
    </row>
    <row r="510" spans="28:39">
      <c r="AB510" s="15"/>
      <c r="AC510" s="15" t="str">
        <f t="shared" si="19"/>
        <v>901–10008501–9500</v>
      </c>
      <c r="AD510" s="23" t="s">
        <v>256</v>
      </c>
      <c r="AE510" s="47" t="s">
        <v>236</v>
      </c>
      <c r="AF510" s="48">
        <v>5.25</v>
      </c>
      <c r="AJ510" s="9" t="str">
        <f t="shared" si="20"/>
        <v>1101–150037801–56700</v>
      </c>
      <c r="AK510" s="28" t="s">
        <v>258</v>
      </c>
      <c r="AL510" s="27" t="s">
        <v>255</v>
      </c>
      <c r="AM510" s="27">
        <v>11</v>
      </c>
    </row>
    <row r="511" spans="28:39">
      <c r="AB511" s="15"/>
      <c r="AC511" s="15" t="str">
        <f t="shared" si="19"/>
        <v>901–10009501–10500</v>
      </c>
      <c r="AD511" s="23" t="s">
        <v>256</v>
      </c>
      <c r="AE511" s="47" t="s">
        <v>237</v>
      </c>
      <c r="AF511" s="48">
        <v>5.75</v>
      </c>
      <c r="AJ511" s="9" t="str">
        <f t="shared" si="20"/>
        <v>1501–25001801–2500</v>
      </c>
      <c r="AK511" s="28" t="s">
        <v>228</v>
      </c>
      <c r="AL511" s="27" t="s">
        <v>248</v>
      </c>
      <c r="AM511" s="27">
        <v>1.75</v>
      </c>
    </row>
    <row r="512" spans="28:39">
      <c r="AB512" s="15"/>
      <c r="AC512" s="15" t="str">
        <f t="shared" si="19"/>
        <v>901–100010501–11500</v>
      </c>
      <c r="AD512" s="23" t="s">
        <v>256</v>
      </c>
      <c r="AE512" s="47" t="s">
        <v>238</v>
      </c>
      <c r="AF512" s="48">
        <v>6</v>
      </c>
      <c r="AJ512" s="9" t="str">
        <f t="shared" si="20"/>
        <v>1501–25002501–3500</v>
      </c>
      <c r="AK512" s="28" t="s">
        <v>228</v>
      </c>
      <c r="AL512" s="27" t="s">
        <v>229</v>
      </c>
      <c r="AM512" s="27">
        <v>2</v>
      </c>
    </row>
    <row r="513" spans="28:39">
      <c r="AB513" s="15"/>
      <c r="AC513" s="15" t="str">
        <f t="shared" si="19"/>
        <v>901–100011501–13500</v>
      </c>
      <c r="AD513" s="23" t="s">
        <v>256</v>
      </c>
      <c r="AE513" s="47" t="s">
        <v>239</v>
      </c>
      <c r="AF513" s="48">
        <v>6.5</v>
      </c>
      <c r="AJ513" s="9" t="str">
        <f t="shared" si="20"/>
        <v>1501–25003501–5000</v>
      </c>
      <c r="AK513" s="28" t="s">
        <v>228</v>
      </c>
      <c r="AL513" s="27" t="s">
        <v>249</v>
      </c>
      <c r="AM513" s="27">
        <v>2.25</v>
      </c>
    </row>
    <row r="514" spans="28:39">
      <c r="AB514" s="15"/>
      <c r="AC514" s="15" t="str">
        <f t="shared" si="19"/>
        <v>901–100013501–15500</v>
      </c>
      <c r="AD514" s="23" t="s">
        <v>256</v>
      </c>
      <c r="AE514" s="47" t="s">
        <v>240</v>
      </c>
      <c r="AF514" s="48">
        <v>8.25</v>
      </c>
      <c r="AJ514" s="9" t="str">
        <f t="shared" si="20"/>
        <v>1501–25005001–7500</v>
      </c>
      <c r="AK514" s="28" t="s">
        <v>228</v>
      </c>
      <c r="AL514" s="27" t="s">
        <v>250</v>
      </c>
      <c r="AM514" s="27">
        <v>3</v>
      </c>
    </row>
    <row r="515" spans="28:39">
      <c r="AB515" s="15"/>
      <c r="AC515" s="15" t="str">
        <f t="shared" si="19"/>
        <v>901–100015501–17500</v>
      </c>
      <c r="AD515" s="23" t="s">
        <v>256</v>
      </c>
      <c r="AE515" s="47" t="s">
        <v>241</v>
      </c>
      <c r="AF515" s="48">
        <v>8.75</v>
      </c>
      <c r="AJ515" s="9" t="str">
        <f t="shared" si="20"/>
        <v>1501–25007501–11200</v>
      </c>
      <c r="AK515" s="28" t="s">
        <v>228</v>
      </c>
      <c r="AL515" s="27" t="s">
        <v>251</v>
      </c>
      <c r="AM515" s="27">
        <v>4.25</v>
      </c>
    </row>
    <row r="516" spans="28:39">
      <c r="AB516" s="15"/>
      <c r="AC516" s="15" t="str">
        <f t="shared" si="19"/>
        <v>901–100017501–19500</v>
      </c>
      <c r="AD516" s="23" t="s">
        <v>256</v>
      </c>
      <c r="AE516" s="47" t="s">
        <v>242</v>
      </c>
      <c r="AF516" s="48">
        <v>9.25</v>
      </c>
      <c r="AJ516" s="9" t="str">
        <f t="shared" si="20"/>
        <v>1501–250011201–16800</v>
      </c>
      <c r="AK516" s="28" t="s">
        <v>228</v>
      </c>
      <c r="AL516" s="27" t="s">
        <v>252</v>
      </c>
      <c r="AM516" s="27">
        <v>5.5</v>
      </c>
    </row>
    <row r="517" spans="28:39">
      <c r="AB517" s="15"/>
      <c r="AC517" s="15" t="str">
        <f t="shared" si="19"/>
        <v>901–100019501–21500</v>
      </c>
      <c r="AD517" s="23" t="s">
        <v>256</v>
      </c>
      <c r="AE517" s="47" t="s">
        <v>243</v>
      </c>
      <c r="AF517" s="48">
        <v>9.5</v>
      </c>
      <c r="AJ517" s="9" t="str">
        <f t="shared" si="20"/>
        <v>1501–250016801–25200</v>
      </c>
      <c r="AK517" s="28" t="s">
        <v>228</v>
      </c>
      <c r="AL517" s="27" t="s">
        <v>253</v>
      </c>
      <c r="AM517" s="27">
        <v>7</v>
      </c>
    </row>
    <row r="518" spans="28:39">
      <c r="AB518" s="15"/>
      <c r="AC518" s="15" t="str">
        <f t="shared" si="19"/>
        <v>901–100021501–23600</v>
      </c>
      <c r="AD518" s="23" t="s">
        <v>256</v>
      </c>
      <c r="AE518" s="47" t="s">
        <v>244</v>
      </c>
      <c r="AF518" s="48">
        <v>10.5</v>
      </c>
      <c r="AJ518" s="9" t="str">
        <f t="shared" si="20"/>
        <v>1501–250025201–37800</v>
      </c>
      <c r="AK518" s="28" t="s">
        <v>228</v>
      </c>
      <c r="AL518" s="27" t="s">
        <v>254</v>
      </c>
      <c r="AM518" s="27">
        <v>9</v>
      </c>
    </row>
    <row r="519" spans="28:39">
      <c r="AB519" s="15"/>
      <c r="AC519" s="15" t="str">
        <f t="shared" si="19"/>
        <v>1001–11003501–4500</v>
      </c>
      <c r="AD519" s="23" t="s">
        <v>257</v>
      </c>
      <c r="AE519" s="47" t="s">
        <v>230</v>
      </c>
      <c r="AF519" s="48">
        <v>4</v>
      </c>
      <c r="AJ519" s="9" t="str">
        <f t="shared" si="20"/>
        <v>1501–250037801–56700</v>
      </c>
      <c r="AK519" s="28" t="s">
        <v>228</v>
      </c>
      <c r="AL519" s="27" t="s">
        <v>255</v>
      </c>
      <c r="AM519" s="27">
        <v>11.25</v>
      </c>
    </row>
    <row r="520" spans="28:39">
      <c r="AB520" s="15"/>
      <c r="AC520" s="15" t="str">
        <f t="shared" si="19"/>
        <v>1001–11004501–5500</v>
      </c>
      <c r="AD520" s="23" t="s">
        <v>257</v>
      </c>
      <c r="AE520" s="47" t="s">
        <v>231</v>
      </c>
      <c r="AF520" s="48">
        <v>4.25</v>
      </c>
      <c r="AJ520" s="9" t="str">
        <f t="shared" si="20"/>
        <v>2501–35002501–3500</v>
      </c>
      <c r="AK520" s="28" t="s">
        <v>229</v>
      </c>
      <c r="AL520" s="27" t="s">
        <v>229</v>
      </c>
      <c r="AM520" s="27">
        <v>2</v>
      </c>
    </row>
    <row r="521" spans="28:39">
      <c r="AB521" s="15"/>
      <c r="AC521" s="15" t="str">
        <f t="shared" si="19"/>
        <v>1001–11005501–6500</v>
      </c>
      <c r="AD521" s="23" t="s">
        <v>257</v>
      </c>
      <c r="AE521" s="47" t="s">
        <v>232</v>
      </c>
      <c r="AF521" s="48">
        <v>4.75</v>
      </c>
      <c r="AJ521" s="9" t="str">
        <f t="shared" si="20"/>
        <v>2501–35003501–5000</v>
      </c>
      <c r="AK521" s="28" t="s">
        <v>229</v>
      </c>
      <c r="AL521" s="27" t="s">
        <v>249</v>
      </c>
      <c r="AM521" s="27">
        <v>2.25</v>
      </c>
    </row>
    <row r="522" spans="28:39">
      <c r="AB522" s="15"/>
      <c r="AC522" s="15" t="str">
        <f t="shared" si="19"/>
        <v>1001–11006501–7500</v>
      </c>
      <c r="AD522" s="23" t="s">
        <v>257</v>
      </c>
      <c r="AE522" s="47" t="s">
        <v>233</v>
      </c>
      <c r="AF522" s="48">
        <v>5</v>
      </c>
      <c r="AJ522" s="9" t="str">
        <f t="shared" si="20"/>
        <v>2501–35005001–7500</v>
      </c>
      <c r="AK522" s="28" t="s">
        <v>229</v>
      </c>
      <c r="AL522" s="27" t="s">
        <v>250</v>
      </c>
      <c r="AM522" s="27">
        <v>3</v>
      </c>
    </row>
    <row r="523" spans="28:39">
      <c r="AB523" s="15"/>
      <c r="AC523" s="15" t="str">
        <f t="shared" si="19"/>
        <v>1001–11007501–8500</v>
      </c>
      <c r="AD523" s="23" t="s">
        <v>257</v>
      </c>
      <c r="AE523" s="47" t="s">
        <v>234</v>
      </c>
      <c r="AF523" s="48">
        <v>5.5</v>
      </c>
      <c r="AJ523" s="9" t="str">
        <f t="shared" si="20"/>
        <v>2501–35007501–11200</v>
      </c>
      <c r="AK523" s="28" t="s">
        <v>229</v>
      </c>
      <c r="AL523" s="27" t="s">
        <v>251</v>
      </c>
      <c r="AM523" s="27">
        <v>4.25</v>
      </c>
    </row>
    <row r="524" spans="28:39">
      <c r="AB524" s="15"/>
      <c r="AC524" s="15" t="str">
        <f t="shared" si="19"/>
        <v>1001–11008501–9500</v>
      </c>
      <c r="AD524" s="23" t="s">
        <v>257</v>
      </c>
      <c r="AE524" s="47" t="s">
        <v>236</v>
      </c>
      <c r="AF524" s="48">
        <v>6</v>
      </c>
      <c r="AJ524" s="9" t="str">
        <f t="shared" si="20"/>
        <v>2501–350011201–16800</v>
      </c>
      <c r="AK524" s="28" t="s">
        <v>229</v>
      </c>
      <c r="AL524" s="27" t="s">
        <v>252</v>
      </c>
      <c r="AM524" s="27">
        <v>5.75</v>
      </c>
    </row>
    <row r="525" spans="28:39">
      <c r="AB525" s="15"/>
      <c r="AC525" s="15" t="str">
        <f t="shared" si="19"/>
        <v>1001–11009501–10500</v>
      </c>
      <c r="AD525" s="23" t="s">
        <v>257</v>
      </c>
      <c r="AE525" s="47" t="s">
        <v>237</v>
      </c>
      <c r="AF525" s="48">
        <v>6.5</v>
      </c>
      <c r="AJ525" s="9" t="str">
        <f t="shared" si="20"/>
        <v>2501–350016801–25200</v>
      </c>
      <c r="AK525" s="28" t="s">
        <v>229</v>
      </c>
      <c r="AL525" s="27" t="s">
        <v>253</v>
      </c>
      <c r="AM525" s="27">
        <v>7.25</v>
      </c>
    </row>
    <row r="526" spans="28:39">
      <c r="AB526" s="15"/>
      <c r="AC526" s="15" t="str">
        <f t="shared" ref="AC526:AC589" si="21">CONCATENATE(AD526,AE526)</f>
        <v>1001–110010501–11500</v>
      </c>
      <c r="AD526" s="23" t="s">
        <v>257</v>
      </c>
      <c r="AE526" s="47" t="s">
        <v>238</v>
      </c>
      <c r="AF526" s="48">
        <v>7</v>
      </c>
      <c r="AJ526" s="9" t="str">
        <f t="shared" si="20"/>
        <v>2501–350025201–37800</v>
      </c>
      <c r="AK526" s="28" t="s">
        <v>229</v>
      </c>
      <c r="AL526" s="27" t="s">
        <v>254</v>
      </c>
      <c r="AM526" s="27">
        <v>9.5</v>
      </c>
    </row>
    <row r="527" spans="28:39">
      <c r="AB527" s="15"/>
      <c r="AC527" s="15" t="str">
        <f t="shared" si="21"/>
        <v>1001–110011501–13500</v>
      </c>
      <c r="AD527" s="23" t="s">
        <v>257</v>
      </c>
      <c r="AE527" s="47" t="s">
        <v>239</v>
      </c>
      <c r="AF527" s="48">
        <v>7.5</v>
      </c>
      <c r="AJ527" s="9" t="str">
        <f t="shared" ref="AJ527:AJ545" si="22">CONCATENATE(AK527,AL527)</f>
        <v>2501–350037801–56700</v>
      </c>
      <c r="AK527" s="28" t="s">
        <v>229</v>
      </c>
      <c r="AL527" s="27" t="s">
        <v>255</v>
      </c>
      <c r="AM527" s="27">
        <v>11.75</v>
      </c>
    </row>
    <row r="528" spans="28:39">
      <c r="AB528" s="15"/>
      <c r="AC528" s="15" t="str">
        <f t="shared" si="21"/>
        <v>1001–110013501–15500</v>
      </c>
      <c r="AD528" s="23" t="s">
        <v>257</v>
      </c>
      <c r="AE528" s="47" t="s">
        <v>240</v>
      </c>
      <c r="AF528" s="48">
        <v>8.75</v>
      </c>
      <c r="AJ528" s="9" t="str">
        <f t="shared" si="22"/>
        <v>3501–45003501–5000</v>
      </c>
      <c r="AK528" s="28" t="s">
        <v>230</v>
      </c>
      <c r="AL528" s="27" t="s">
        <v>249</v>
      </c>
      <c r="AM528" s="27">
        <v>2.5</v>
      </c>
    </row>
    <row r="529" spans="28:39">
      <c r="AB529" s="15"/>
      <c r="AC529" s="15" t="str">
        <f t="shared" si="21"/>
        <v>1001–110015501–17500</v>
      </c>
      <c r="AD529" s="23" t="s">
        <v>257</v>
      </c>
      <c r="AE529" s="47" t="s">
        <v>241</v>
      </c>
      <c r="AF529" s="48">
        <v>10.25</v>
      </c>
      <c r="AJ529" s="9" t="str">
        <f t="shared" si="22"/>
        <v>3501–45005001–7500</v>
      </c>
      <c r="AK529" s="28" t="s">
        <v>230</v>
      </c>
      <c r="AL529" s="27" t="s">
        <v>250</v>
      </c>
      <c r="AM529" s="27">
        <v>3.25</v>
      </c>
    </row>
    <row r="530" spans="28:39">
      <c r="AB530" s="15"/>
      <c r="AC530" s="15" t="str">
        <f t="shared" si="21"/>
        <v>1001–110017501–19500</v>
      </c>
      <c r="AD530" s="23" t="s">
        <v>257</v>
      </c>
      <c r="AE530" s="47" t="s">
        <v>242</v>
      </c>
      <c r="AF530" s="48">
        <v>10.25</v>
      </c>
      <c r="AJ530" s="9" t="str">
        <f t="shared" si="22"/>
        <v>3501–45007501–11200</v>
      </c>
      <c r="AK530" s="28" t="s">
        <v>230</v>
      </c>
      <c r="AL530" s="27" t="s">
        <v>251</v>
      </c>
      <c r="AM530" s="27">
        <v>4.5</v>
      </c>
    </row>
    <row r="531" spans="28:39">
      <c r="AB531" s="15"/>
      <c r="AC531" s="15" t="str">
        <f t="shared" si="21"/>
        <v>1001–110019501–21500</v>
      </c>
      <c r="AD531" s="23" t="s">
        <v>257</v>
      </c>
      <c r="AE531" s="47" t="s">
        <v>243</v>
      </c>
      <c r="AF531" s="48">
        <v>10.5</v>
      </c>
      <c r="AJ531" s="9" t="str">
        <f t="shared" si="22"/>
        <v>3501–450011201–16800</v>
      </c>
      <c r="AK531" s="28" t="s">
        <v>230</v>
      </c>
      <c r="AL531" s="27" t="s">
        <v>252</v>
      </c>
      <c r="AM531" s="27">
        <v>6</v>
      </c>
    </row>
    <row r="532" spans="28:39">
      <c r="AB532" s="15"/>
      <c r="AC532" s="15" t="str">
        <f t="shared" si="21"/>
        <v>1001–110021501–23600</v>
      </c>
      <c r="AD532" s="23" t="s">
        <v>257</v>
      </c>
      <c r="AE532" s="47" t="s">
        <v>244</v>
      </c>
      <c r="AF532" s="48">
        <v>11.25</v>
      </c>
      <c r="AJ532" s="9" t="str">
        <f t="shared" si="22"/>
        <v>3501–450016801–25200</v>
      </c>
      <c r="AK532" s="28" t="s">
        <v>230</v>
      </c>
      <c r="AL532" s="27" t="s">
        <v>253</v>
      </c>
      <c r="AM532" s="27">
        <v>7.5</v>
      </c>
    </row>
    <row r="533" spans="28:39">
      <c r="AB533" s="15"/>
      <c r="AC533" s="15" t="str">
        <f t="shared" si="21"/>
        <v>1101–15003501–4500</v>
      </c>
      <c r="AD533" s="23" t="s">
        <v>258</v>
      </c>
      <c r="AE533" s="47" t="s">
        <v>230</v>
      </c>
      <c r="AF533" s="48">
        <v>4.25</v>
      </c>
      <c r="AJ533" s="9" t="str">
        <f t="shared" si="22"/>
        <v>3501–450025201–37800</v>
      </c>
      <c r="AK533" s="28" t="s">
        <v>230</v>
      </c>
      <c r="AL533" s="27" t="s">
        <v>254</v>
      </c>
      <c r="AM533" s="27">
        <v>10</v>
      </c>
    </row>
    <row r="534" spans="28:39">
      <c r="AB534" s="15"/>
      <c r="AC534" s="15" t="str">
        <f t="shared" si="21"/>
        <v>1101–15004501–5500</v>
      </c>
      <c r="AD534" s="23" t="s">
        <v>258</v>
      </c>
      <c r="AE534" s="47" t="s">
        <v>231</v>
      </c>
      <c r="AF534" s="48">
        <v>4.5</v>
      </c>
      <c r="AJ534" s="9" t="str">
        <f t="shared" si="22"/>
        <v>3501–450037801–56700</v>
      </c>
      <c r="AK534" s="28" t="s">
        <v>230</v>
      </c>
      <c r="AL534" s="27" t="s">
        <v>255</v>
      </c>
      <c r="AM534" s="27">
        <v>12.5</v>
      </c>
    </row>
    <row r="535" spans="28:39">
      <c r="AB535" s="15"/>
      <c r="AC535" s="15" t="str">
        <f t="shared" si="21"/>
        <v>1101–15005501–6500</v>
      </c>
      <c r="AD535" s="23" t="s">
        <v>258</v>
      </c>
      <c r="AE535" s="47" t="s">
        <v>232</v>
      </c>
      <c r="AF535" s="48">
        <v>5</v>
      </c>
      <c r="AJ535" s="9" t="str">
        <f t="shared" si="22"/>
        <v>4501–55005001–7500</v>
      </c>
      <c r="AK535" s="28" t="s">
        <v>231</v>
      </c>
      <c r="AL535" s="27" t="s">
        <v>250</v>
      </c>
      <c r="AM535" s="27">
        <v>3.25</v>
      </c>
    </row>
    <row r="536" spans="28:39">
      <c r="AB536" s="15"/>
      <c r="AC536" s="15" t="str">
        <f t="shared" si="21"/>
        <v>1101–15006501–7500</v>
      </c>
      <c r="AD536" s="23" t="s">
        <v>258</v>
      </c>
      <c r="AE536" s="47" t="s">
        <v>233</v>
      </c>
      <c r="AF536" s="48">
        <v>5.5</v>
      </c>
      <c r="AJ536" s="9" t="str">
        <f t="shared" si="22"/>
        <v>4501–55007501–11200</v>
      </c>
      <c r="AK536" s="28" t="s">
        <v>231</v>
      </c>
      <c r="AL536" s="27" t="s">
        <v>251</v>
      </c>
      <c r="AM536" s="27">
        <v>4.75</v>
      </c>
    </row>
    <row r="537" spans="28:39">
      <c r="AB537" s="15"/>
      <c r="AC537" s="15" t="str">
        <f t="shared" si="21"/>
        <v>1101–15007501–8500</v>
      </c>
      <c r="AD537" s="23" t="s">
        <v>258</v>
      </c>
      <c r="AE537" s="47" t="s">
        <v>234</v>
      </c>
      <c r="AF537" s="48">
        <v>5.75</v>
      </c>
      <c r="AJ537" s="9" t="str">
        <f t="shared" si="22"/>
        <v>4501–550011201–16800</v>
      </c>
      <c r="AK537" s="28" t="s">
        <v>231</v>
      </c>
      <c r="AL537" s="27" t="s">
        <v>252</v>
      </c>
      <c r="AM537" s="27">
        <v>6.25</v>
      </c>
    </row>
    <row r="538" spans="28:39">
      <c r="AB538" s="15"/>
      <c r="AC538" s="15" t="str">
        <f t="shared" si="21"/>
        <v>1101–15008501–9500</v>
      </c>
      <c r="AD538" s="23" t="s">
        <v>258</v>
      </c>
      <c r="AE538" s="47" t="s">
        <v>236</v>
      </c>
      <c r="AF538" s="48">
        <v>6.5</v>
      </c>
      <c r="AJ538" s="9" t="str">
        <f t="shared" si="22"/>
        <v>4501–550016801–25200</v>
      </c>
      <c r="AK538" s="28" t="s">
        <v>231</v>
      </c>
      <c r="AL538" s="27" t="s">
        <v>253</v>
      </c>
      <c r="AM538" s="27">
        <v>7.75</v>
      </c>
    </row>
    <row r="539" spans="28:39">
      <c r="AB539" s="15"/>
      <c r="AC539" s="15" t="str">
        <f t="shared" si="21"/>
        <v>1101–15009501–10500</v>
      </c>
      <c r="AD539" s="23" t="s">
        <v>258</v>
      </c>
      <c r="AE539" s="47" t="s">
        <v>237</v>
      </c>
      <c r="AF539" s="48">
        <v>7</v>
      </c>
      <c r="AJ539" s="9" t="str">
        <f t="shared" si="22"/>
        <v>4501–550025201–37800</v>
      </c>
      <c r="AK539" s="28" t="s">
        <v>231</v>
      </c>
      <c r="AL539" s="27" t="s">
        <v>254</v>
      </c>
      <c r="AM539" s="27">
        <v>10.5</v>
      </c>
    </row>
    <row r="540" spans="28:39">
      <c r="AB540" s="15"/>
      <c r="AC540" s="15" t="str">
        <f t="shared" si="21"/>
        <v>1101–150010501–11500</v>
      </c>
      <c r="AD540" s="23" t="s">
        <v>258</v>
      </c>
      <c r="AE540" s="47" t="s">
        <v>238</v>
      </c>
      <c r="AF540" s="48">
        <v>7.5</v>
      </c>
      <c r="AJ540" s="9" t="str">
        <f t="shared" si="22"/>
        <v>4501–550037801–56700</v>
      </c>
      <c r="AK540" s="28" t="s">
        <v>231</v>
      </c>
      <c r="AL540" s="27" t="s">
        <v>255</v>
      </c>
      <c r="AM540" s="27">
        <v>13</v>
      </c>
    </row>
    <row r="541" spans="28:39">
      <c r="AB541" s="15"/>
      <c r="AC541" s="15" t="str">
        <f t="shared" si="21"/>
        <v>1101–150011501–13500</v>
      </c>
      <c r="AD541" s="23" t="s">
        <v>258</v>
      </c>
      <c r="AE541" s="47" t="s">
        <v>239</v>
      </c>
      <c r="AF541" s="48">
        <v>8</v>
      </c>
      <c r="AJ541" s="9" t="str">
        <f t="shared" si="22"/>
        <v>Свыше 55007501–11200</v>
      </c>
      <c r="AK541" s="28" t="s">
        <v>259</v>
      </c>
      <c r="AL541" s="27" t="s">
        <v>251</v>
      </c>
      <c r="AM541" s="27">
        <v>5</v>
      </c>
    </row>
    <row r="542" spans="28:39">
      <c r="AB542" s="15"/>
      <c r="AC542" s="15" t="str">
        <f t="shared" si="21"/>
        <v>1101–150013501–15500</v>
      </c>
      <c r="AD542" s="23" t="s">
        <v>258</v>
      </c>
      <c r="AE542" s="47" t="s">
        <v>240</v>
      </c>
      <c r="AF542" s="48">
        <v>9.5</v>
      </c>
      <c r="AJ542" s="9" t="str">
        <f t="shared" si="22"/>
        <v>Свыше 550011201–16800</v>
      </c>
      <c r="AK542" s="28" t="s">
        <v>259</v>
      </c>
      <c r="AL542" s="27" t="s">
        <v>252</v>
      </c>
      <c r="AM542" s="27">
        <v>6.5</v>
      </c>
    </row>
    <row r="543" spans="28:39">
      <c r="AB543" s="15"/>
      <c r="AC543" s="15" t="str">
        <f t="shared" si="21"/>
        <v>1101–150015501–17500</v>
      </c>
      <c r="AD543" s="23" t="s">
        <v>258</v>
      </c>
      <c r="AE543" s="47" t="s">
        <v>241</v>
      </c>
      <c r="AF543" s="48">
        <v>11.25</v>
      </c>
      <c r="AJ543" s="9" t="str">
        <f t="shared" si="22"/>
        <v>Свыше 550016801–25200</v>
      </c>
      <c r="AK543" s="28" t="s">
        <v>259</v>
      </c>
      <c r="AL543" s="27" t="s">
        <v>253</v>
      </c>
      <c r="AM543" s="27">
        <v>8</v>
      </c>
    </row>
    <row r="544" spans="28:39">
      <c r="AB544" s="15"/>
      <c r="AC544" s="15" t="str">
        <f t="shared" si="21"/>
        <v>1101–150017501–19500</v>
      </c>
      <c r="AD544" s="23" t="s">
        <v>258</v>
      </c>
      <c r="AE544" s="47" t="s">
        <v>242</v>
      </c>
      <c r="AF544" s="48">
        <v>11.25</v>
      </c>
      <c r="AJ544" s="9" t="str">
        <f t="shared" si="22"/>
        <v>Свыше 550025201–37800</v>
      </c>
      <c r="AK544" s="28" t="s">
        <v>259</v>
      </c>
      <c r="AL544" s="27" t="s">
        <v>254</v>
      </c>
      <c r="AM544" s="27">
        <v>11</v>
      </c>
    </row>
    <row r="545" spans="28:39">
      <c r="AB545" s="15"/>
      <c r="AC545" s="15" t="str">
        <f t="shared" si="21"/>
        <v>1101–150019501–21500</v>
      </c>
      <c r="AD545" s="23" t="s">
        <v>258</v>
      </c>
      <c r="AE545" s="47" t="s">
        <v>243</v>
      </c>
      <c r="AF545" s="48">
        <v>11.5</v>
      </c>
      <c r="AJ545" s="9" t="str">
        <f t="shared" si="22"/>
        <v>Свыше 550037801–56700</v>
      </c>
      <c r="AK545" s="29" t="s">
        <v>259</v>
      </c>
      <c r="AL545" s="27" t="s">
        <v>255</v>
      </c>
      <c r="AM545" s="27">
        <v>13.5</v>
      </c>
    </row>
    <row r="546" spans="28:39">
      <c r="AB546" s="15"/>
      <c r="AC546" s="15" t="str">
        <f t="shared" si="21"/>
        <v>1101–150021501–23600</v>
      </c>
      <c r="AD546" s="23" t="s">
        <v>258</v>
      </c>
      <c r="AE546" s="47" t="s">
        <v>244</v>
      </c>
      <c r="AF546" s="48">
        <v>12.75</v>
      </c>
    </row>
    <row r="547" spans="28:39">
      <c r="AB547" s="15"/>
      <c r="AC547" s="15" t="str">
        <f t="shared" si="21"/>
        <v>1501–25004501–5500</v>
      </c>
      <c r="AD547" s="23" t="s">
        <v>228</v>
      </c>
      <c r="AE547" s="47" t="s">
        <v>231</v>
      </c>
      <c r="AF547" s="48">
        <v>4.75</v>
      </c>
    </row>
    <row r="548" spans="28:39">
      <c r="AB548" s="15"/>
      <c r="AC548" s="15" t="str">
        <f t="shared" si="21"/>
        <v>1501–25005501–6500</v>
      </c>
      <c r="AD548" s="23" t="s">
        <v>228</v>
      </c>
      <c r="AE548" s="47" t="s">
        <v>232</v>
      </c>
      <c r="AF548" s="48">
        <v>5.5</v>
      </c>
    </row>
    <row r="549" spans="28:39">
      <c r="AB549" s="15"/>
      <c r="AC549" s="15" t="str">
        <f t="shared" si="21"/>
        <v>1501–25006501–7500</v>
      </c>
      <c r="AD549" s="23" t="s">
        <v>228</v>
      </c>
      <c r="AE549" s="47" t="s">
        <v>233</v>
      </c>
      <c r="AF549" s="48">
        <v>6</v>
      </c>
    </row>
    <row r="550" spans="28:39">
      <c r="AB550" s="15"/>
      <c r="AC550" s="15" t="str">
        <f t="shared" si="21"/>
        <v>1501–25007501–8500</v>
      </c>
      <c r="AD550" s="23" t="s">
        <v>228</v>
      </c>
      <c r="AE550" s="47" t="s">
        <v>234</v>
      </c>
      <c r="AF550" s="48">
        <v>6.5</v>
      </c>
    </row>
    <row r="551" spans="28:39">
      <c r="AB551" s="15"/>
      <c r="AC551" s="15" t="str">
        <f t="shared" si="21"/>
        <v>1501–25008501–9500</v>
      </c>
      <c r="AD551" s="23" t="s">
        <v>228</v>
      </c>
      <c r="AE551" s="47" t="s">
        <v>236</v>
      </c>
      <c r="AF551" s="48">
        <v>7</v>
      </c>
    </row>
    <row r="552" spans="28:39">
      <c r="AB552" s="15"/>
      <c r="AC552" s="15" t="str">
        <f t="shared" si="21"/>
        <v>1501–25009501–10500</v>
      </c>
      <c r="AD552" s="23" t="s">
        <v>228</v>
      </c>
      <c r="AE552" s="47" t="s">
        <v>237</v>
      </c>
      <c r="AF552" s="48">
        <v>7.5</v>
      </c>
    </row>
    <row r="553" spans="28:39">
      <c r="AB553" s="15"/>
      <c r="AC553" s="15" t="str">
        <f t="shared" si="21"/>
        <v>1501–250010501–11500</v>
      </c>
      <c r="AD553" s="23" t="s">
        <v>228</v>
      </c>
      <c r="AE553" s="47" t="s">
        <v>238</v>
      </c>
      <c r="AF553" s="48">
        <v>8</v>
      </c>
    </row>
    <row r="554" spans="28:39">
      <c r="AB554" s="15"/>
      <c r="AC554" s="15" t="str">
        <f t="shared" si="21"/>
        <v>1501–250011501–13500</v>
      </c>
      <c r="AD554" s="23" t="s">
        <v>228</v>
      </c>
      <c r="AE554" s="47" t="s">
        <v>239</v>
      </c>
      <c r="AF554" s="48">
        <v>8.5</v>
      </c>
    </row>
    <row r="555" spans="28:39">
      <c r="AB555" s="15"/>
      <c r="AC555" s="15" t="str">
        <f t="shared" si="21"/>
        <v>1501–250013501–15500</v>
      </c>
      <c r="AD555" s="23" t="s">
        <v>228</v>
      </c>
      <c r="AE555" s="47" t="s">
        <v>240</v>
      </c>
      <c r="AF555" s="48">
        <v>10.75</v>
      </c>
    </row>
    <row r="556" spans="28:39">
      <c r="AB556" s="15"/>
      <c r="AC556" s="15" t="str">
        <f t="shared" si="21"/>
        <v>1501–250015501–17500</v>
      </c>
      <c r="AD556" s="23" t="s">
        <v>228</v>
      </c>
      <c r="AE556" s="47" t="s">
        <v>241</v>
      </c>
      <c r="AF556" s="48">
        <v>12.5</v>
      </c>
    </row>
    <row r="557" spans="28:39">
      <c r="AB557" s="15"/>
      <c r="AC557" s="15" t="str">
        <f t="shared" si="21"/>
        <v>1501–250017501–19500</v>
      </c>
      <c r="AD557" s="23" t="s">
        <v>228</v>
      </c>
      <c r="AE557" s="47" t="s">
        <v>242</v>
      </c>
      <c r="AF557" s="48">
        <v>12.5</v>
      </c>
    </row>
    <row r="558" spans="28:39">
      <c r="AB558" s="15"/>
      <c r="AC558" s="15" t="str">
        <f t="shared" si="21"/>
        <v>1501–250019501–21500</v>
      </c>
      <c r="AD558" s="23" t="s">
        <v>228</v>
      </c>
      <c r="AE558" s="47" t="s">
        <v>243</v>
      </c>
      <c r="AF558" s="48">
        <v>12.75</v>
      </c>
    </row>
    <row r="559" spans="28:39">
      <c r="AB559" s="15"/>
      <c r="AC559" s="15" t="str">
        <f t="shared" si="21"/>
        <v>1501–250021501–23600</v>
      </c>
      <c r="AD559" s="23" t="s">
        <v>228</v>
      </c>
      <c r="AE559" s="47" t="s">
        <v>244</v>
      </c>
      <c r="AF559" s="48">
        <v>14.25</v>
      </c>
    </row>
    <row r="560" spans="28:39">
      <c r="AB560" s="15"/>
      <c r="AC560" s="15" t="str">
        <f t="shared" si="21"/>
        <v>2501–35005501–6500</v>
      </c>
      <c r="AD560" s="23" t="s">
        <v>229</v>
      </c>
      <c r="AE560" s="47" t="s">
        <v>232</v>
      </c>
      <c r="AF560" s="48">
        <v>6</v>
      </c>
    </row>
    <row r="561" spans="28:32">
      <c r="AB561" s="15"/>
      <c r="AC561" s="15" t="str">
        <f t="shared" si="21"/>
        <v>2501–35006501–7500</v>
      </c>
      <c r="AD561" s="23" t="s">
        <v>229</v>
      </c>
      <c r="AE561" s="47" t="s">
        <v>233</v>
      </c>
      <c r="AF561" s="48">
        <v>6.5</v>
      </c>
    </row>
    <row r="562" spans="28:32">
      <c r="AB562" s="15"/>
      <c r="AC562" s="15" t="str">
        <f t="shared" si="21"/>
        <v>2501–35007501–8500</v>
      </c>
      <c r="AD562" s="23" t="s">
        <v>229</v>
      </c>
      <c r="AE562" s="47" t="s">
        <v>234</v>
      </c>
      <c r="AF562" s="48">
        <v>7</v>
      </c>
    </row>
    <row r="563" spans="28:32">
      <c r="AB563" s="15"/>
      <c r="AC563" s="15" t="str">
        <f t="shared" si="21"/>
        <v>2501–35008501–9500</v>
      </c>
      <c r="AD563" s="23" t="s">
        <v>229</v>
      </c>
      <c r="AE563" s="47" t="s">
        <v>236</v>
      </c>
      <c r="AF563" s="48">
        <v>7.5</v>
      </c>
    </row>
    <row r="564" spans="28:32">
      <c r="AB564" s="15"/>
      <c r="AC564" s="15" t="str">
        <f t="shared" si="21"/>
        <v>2501–35009501–10500</v>
      </c>
      <c r="AD564" s="23" t="s">
        <v>229</v>
      </c>
      <c r="AE564" s="47" t="s">
        <v>237</v>
      </c>
      <c r="AF564" s="48">
        <v>8</v>
      </c>
    </row>
    <row r="565" spans="28:32">
      <c r="AB565" s="15"/>
      <c r="AC565" s="15" t="str">
        <f t="shared" si="21"/>
        <v>2501–350010501–11500</v>
      </c>
      <c r="AD565" s="23" t="s">
        <v>229</v>
      </c>
      <c r="AE565" s="47" t="s">
        <v>238</v>
      </c>
      <c r="AF565" s="48">
        <v>8.5</v>
      </c>
    </row>
    <row r="566" spans="28:32">
      <c r="AB566" s="15"/>
      <c r="AC566" s="15" t="str">
        <f t="shared" si="21"/>
        <v>2501–350011501–13500</v>
      </c>
      <c r="AD566" s="23" t="s">
        <v>229</v>
      </c>
      <c r="AE566" s="47" t="s">
        <v>239</v>
      </c>
      <c r="AF566" s="48">
        <v>9.25</v>
      </c>
    </row>
    <row r="567" spans="28:32">
      <c r="AB567" s="15"/>
      <c r="AC567" s="15" t="str">
        <f t="shared" si="21"/>
        <v>2501–350013501–15500</v>
      </c>
      <c r="AD567" s="23" t="s">
        <v>229</v>
      </c>
      <c r="AE567" s="47" t="s">
        <v>240</v>
      </c>
      <c r="AF567" s="48">
        <v>12.5</v>
      </c>
    </row>
    <row r="568" spans="28:32">
      <c r="AB568" s="15"/>
      <c r="AC568" s="15" t="str">
        <f t="shared" si="21"/>
        <v>2501–350015501–17500</v>
      </c>
      <c r="AD568" s="23" t="s">
        <v>229</v>
      </c>
      <c r="AE568" s="47" t="s">
        <v>241</v>
      </c>
      <c r="AF568" s="48">
        <v>13.75</v>
      </c>
    </row>
    <row r="569" spans="28:32">
      <c r="AB569" s="15"/>
      <c r="AC569" s="15" t="str">
        <f t="shared" si="21"/>
        <v>2501–350017501–19500</v>
      </c>
      <c r="AD569" s="23" t="s">
        <v>229</v>
      </c>
      <c r="AE569" s="47" t="s">
        <v>242</v>
      </c>
      <c r="AF569" s="48">
        <v>13.75</v>
      </c>
    </row>
    <row r="570" spans="28:32">
      <c r="AB570" s="15"/>
      <c r="AC570" s="15" t="str">
        <f t="shared" si="21"/>
        <v>2501–350019501–21500</v>
      </c>
      <c r="AD570" s="23" t="s">
        <v>229</v>
      </c>
      <c r="AE570" s="47" t="s">
        <v>243</v>
      </c>
      <c r="AF570" s="48">
        <v>13.75</v>
      </c>
    </row>
    <row r="571" spans="28:32">
      <c r="AB571" s="15"/>
      <c r="AC571" s="15" t="str">
        <f t="shared" si="21"/>
        <v>2501–350021501–23600</v>
      </c>
      <c r="AD571" s="23" t="s">
        <v>229</v>
      </c>
      <c r="AE571" s="47" t="s">
        <v>244</v>
      </c>
      <c r="AF571" s="48">
        <v>15.5</v>
      </c>
    </row>
    <row r="572" spans="28:32">
      <c r="AB572" s="15"/>
      <c r="AC572" s="15" t="str">
        <f t="shared" si="21"/>
        <v>3501–45006501–7500</v>
      </c>
      <c r="AD572" s="23" t="s">
        <v>230</v>
      </c>
      <c r="AE572" s="47" t="s">
        <v>233</v>
      </c>
      <c r="AF572" s="48">
        <v>7</v>
      </c>
    </row>
    <row r="573" spans="28:32">
      <c r="AB573" s="15"/>
      <c r="AC573" s="15" t="str">
        <f t="shared" si="21"/>
        <v>3501–45007501–8500</v>
      </c>
      <c r="AD573" s="23" t="s">
        <v>230</v>
      </c>
      <c r="AE573" s="47" t="s">
        <v>234</v>
      </c>
      <c r="AF573" s="48">
        <v>7.5</v>
      </c>
    </row>
    <row r="574" spans="28:32">
      <c r="AB574" s="15"/>
      <c r="AC574" s="15" t="str">
        <f t="shared" si="21"/>
        <v>3501–45008501–9500</v>
      </c>
      <c r="AD574" s="23" t="s">
        <v>230</v>
      </c>
      <c r="AE574" s="47" t="s">
        <v>236</v>
      </c>
      <c r="AF574" s="48">
        <v>8</v>
      </c>
    </row>
    <row r="575" spans="28:32">
      <c r="AB575" s="15"/>
      <c r="AC575" s="15" t="str">
        <f t="shared" si="21"/>
        <v>3501–45009501–10500</v>
      </c>
      <c r="AD575" s="23" t="s">
        <v>230</v>
      </c>
      <c r="AE575" s="47" t="s">
        <v>237</v>
      </c>
      <c r="AF575" s="48">
        <v>9</v>
      </c>
    </row>
    <row r="576" spans="28:32">
      <c r="AB576" s="15"/>
      <c r="AC576" s="15" t="str">
        <f t="shared" si="21"/>
        <v>3501–450010501–11500</v>
      </c>
      <c r="AD576" s="23" t="s">
        <v>230</v>
      </c>
      <c r="AE576" s="47" t="s">
        <v>238</v>
      </c>
      <c r="AF576" s="48">
        <v>9.5</v>
      </c>
    </row>
    <row r="577" spans="28:32">
      <c r="AB577" s="15"/>
      <c r="AC577" s="15" t="str">
        <f t="shared" si="21"/>
        <v>3501–450011501–13500</v>
      </c>
      <c r="AD577" s="23" t="s">
        <v>230</v>
      </c>
      <c r="AE577" s="47" t="s">
        <v>239</v>
      </c>
      <c r="AF577" s="48">
        <v>10.5</v>
      </c>
    </row>
    <row r="578" spans="28:32">
      <c r="AB578" s="15"/>
      <c r="AC578" s="15" t="str">
        <f t="shared" si="21"/>
        <v>3501–450013501–15500</v>
      </c>
      <c r="AD578" s="23" t="s">
        <v>230</v>
      </c>
      <c r="AE578" s="47" t="s">
        <v>240</v>
      </c>
      <c r="AF578" s="48">
        <v>13.75</v>
      </c>
    </row>
    <row r="579" spans="28:32">
      <c r="AB579" s="15"/>
      <c r="AC579" s="15" t="str">
        <f t="shared" si="21"/>
        <v>3501–450015501–17500</v>
      </c>
      <c r="AD579" s="23" t="s">
        <v>230</v>
      </c>
      <c r="AE579" s="47" t="s">
        <v>241</v>
      </c>
      <c r="AF579" s="48">
        <v>15.5</v>
      </c>
    </row>
    <row r="580" spans="28:32">
      <c r="AB580" s="15"/>
      <c r="AC580" s="15" t="str">
        <f t="shared" si="21"/>
        <v>3501–450017501–19500</v>
      </c>
      <c r="AD580" s="23" t="s">
        <v>230</v>
      </c>
      <c r="AE580" s="47" t="s">
        <v>242</v>
      </c>
      <c r="AF580" s="48">
        <v>15.5</v>
      </c>
    </row>
    <row r="581" spans="28:32">
      <c r="AB581" s="15"/>
      <c r="AC581" s="15" t="str">
        <f t="shared" si="21"/>
        <v>3501–450019501–21500</v>
      </c>
      <c r="AD581" s="23" t="s">
        <v>230</v>
      </c>
      <c r="AE581" s="47" t="s">
        <v>243</v>
      </c>
      <c r="AF581" s="48">
        <v>16.5</v>
      </c>
    </row>
    <row r="582" spans="28:32">
      <c r="AB582" s="15"/>
      <c r="AC582" s="15" t="str">
        <f t="shared" si="21"/>
        <v>3501–450021501–23600</v>
      </c>
      <c r="AD582" s="23" t="s">
        <v>230</v>
      </c>
      <c r="AE582" s="47" t="s">
        <v>244</v>
      </c>
      <c r="AF582" s="48">
        <v>17.75</v>
      </c>
    </row>
    <row r="583" spans="28:32">
      <c r="AB583" s="15"/>
      <c r="AC583" s="15" t="str">
        <f t="shared" si="21"/>
        <v>4501–55007501–8500</v>
      </c>
      <c r="AD583" s="23" t="s">
        <v>231</v>
      </c>
      <c r="AE583" s="47" t="s">
        <v>234</v>
      </c>
      <c r="AF583" s="48">
        <v>8</v>
      </c>
    </row>
    <row r="584" spans="28:32">
      <c r="AB584" s="15"/>
      <c r="AC584" s="15" t="str">
        <f t="shared" si="21"/>
        <v>4501–55008501–9500</v>
      </c>
      <c r="AD584" s="23" t="s">
        <v>231</v>
      </c>
      <c r="AE584" s="47" t="s">
        <v>236</v>
      </c>
      <c r="AF584" s="48">
        <v>8.5</v>
      </c>
    </row>
    <row r="585" spans="28:32">
      <c r="AB585" s="15"/>
      <c r="AC585" s="15" t="str">
        <f t="shared" si="21"/>
        <v>4501–55009501–10500</v>
      </c>
      <c r="AD585" s="23" t="s">
        <v>231</v>
      </c>
      <c r="AE585" s="47" t="s">
        <v>237</v>
      </c>
      <c r="AF585" s="48">
        <v>10.25</v>
      </c>
    </row>
    <row r="586" spans="28:32">
      <c r="AB586" s="15"/>
      <c r="AC586" s="15" t="str">
        <f t="shared" si="21"/>
        <v>4501–550010501–11500</v>
      </c>
      <c r="AD586" s="23" t="s">
        <v>231</v>
      </c>
      <c r="AE586" s="47" t="s">
        <v>238</v>
      </c>
      <c r="AF586" s="48">
        <v>10.5</v>
      </c>
    </row>
    <row r="587" spans="28:32">
      <c r="AB587" s="15"/>
      <c r="AC587" s="15" t="str">
        <f t="shared" si="21"/>
        <v>4501–550011501–13500</v>
      </c>
      <c r="AD587" s="23" t="s">
        <v>231</v>
      </c>
      <c r="AE587" s="47" t="s">
        <v>239</v>
      </c>
      <c r="AF587" s="48">
        <v>11.5</v>
      </c>
    </row>
    <row r="588" spans="28:32">
      <c r="AB588" s="15"/>
      <c r="AC588" s="15" t="str">
        <f t="shared" si="21"/>
        <v>4501–550013501–15500</v>
      </c>
      <c r="AD588" s="23" t="s">
        <v>231</v>
      </c>
      <c r="AE588" s="47" t="s">
        <v>240</v>
      </c>
      <c r="AF588" s="48">
        <v>15.5</v>
      </c>
    </row>
    <row r="589" spans="28:32">
      <c r="AB589" s="15"/>
      <c r="AC589" s="15" t="str">
        <f t="shared" si="21"/>
        <v>4501–550015501–17500</v>
      </c>
      <c r="AD589" s="23" t="s">
        <v>231</v>
      </c>
      <c r="AE589" s="47" t="s">
        <v>241</v>
      </c>
      <c r="AF589" s="48">
        <v>16.75</v>
      </c>
    </row>
    <row r="590" spans="28:32">
      <c r="AB590" s="15"/>
      <c r="AC590" s="15" t="str">
        <f t="shared" ref="AC590:AC601" si="23">CONCATENATE(AD590,AE590)</f>
        <v>4501–550017501–19500</v>
      </c>
      <c r="AD590" s="23" t="s">
        <v>231</v>
      </c>
      <c r="AE590" s="47" t="s">
        <v>242</v>
      </c>
      <c r="AF590" s="48">
        <v>16.75</v>
      </c>
    </row>
    <row r="591" spans="28:32">
      <c r="AB591" s="15"/>
      <c r="AC591" s="15" t="str">
        <f t="shared" si="23"/>
        <v>4501–550019501–21500</v>
      </c>
      <c r="AD591" s="23" t="s">
        <v>231</v>
      </c>
      <c r="AE591" s="47" t="s">
        <v>243</v>
      </c>
      <c r="AF591" s="49">
        <v>18</v>
      </c>
    </row>
    <row r="592" spans="28:32">
      <c r="AB592" s="15"/>
      <c r="AC592" s="15" t="str">
        <f t="shared" si="23"/>
        <v>4501–550021501–23600</v>
      </c>
      <c r="AD592" s="23" t="s">
        <v>231</v>
      </c>
      <c r="AE592" s="47" t="s">
        <v>244</v>
      </c>
      <c r="AF592" s="48">
        <v>19.25</v>
      </c>
    </row>
    <row r="593" spans="28:32">
      <c r="AB593" s="15"/>
      <c r="AC593" s="15" t="str">
        <f t="shared" si="23"/>
        <v>Свыше 55008501–9500</v>
      </c>
      <c r="AD593" s="23" t="s">
        <v>259</v>
      </c>
      <c r="AE593" s="47" t="s">
        <v>236</v>
      </c>
      <c r="AF593" s="48">
        <v>10</v>
      </c>
    </row>
    <row r="594" spans="28:32">
      <c r="AB594" s="15"/>
      <c r="AC594" s="15" t="str">
        <f t="shared" si="23"/>
        <v>Свыше 55009501–10500</v>
      </c>
      <c r="AD594" s="23" t="s">
        <v>259</v>
      </c>
      <c r="AE594" s="47" t="s">
        <v>237</v>
      </c>
      <c r="AF594" s="48">
        <v>11</v>
      </c>
    </row>
    <row r="595" spans="28:32">
      <c r="AB595" s="15"/>
      <c r="AC595" s="15" t="str">
        <f t="shared" si="23"/>
        <v>Свыше 550010501–11500</v>
      </c>
      <c r="AD595" s="23" t="s">
        <v>259</v>
      </c>
      <c r="AE595" s="47" t="s">
        <v>238</v>
      </c>
      <c r="AF595" s="48">
        <v>11.5</v>
      </c>
    </row>
    <row r="596" spans="28:32">
      <c r="AB596" s="15"/>
      <c r="AC596" s="15" t="str">
        <f t="shared" si="23"/>
        <v>Свыше 550011501–13500</v>
      </c>
      <c r="AD596" s="23" t="s">
        <v>259</v>
      </c>
      <c r="AE596" s="47" t="s">
        <v>239</v>
      </c>
      <c r="AF596" s="48">
        <v>12.5</v>
      </c>
    </row>
    <row r="597" spans="28:32">
      <c r="AB597" s="15"/>
      <c r="AC597" s="15" t="str">
        <f t="shared" si="23"/>
        <v>Свыше 550013501–15500</v>
      </c>
      <c r="AD597" s="23" t="s">
        <v>259</v>
      </c>
      <c r="AE597" s="47" t="s">
        <v>240</v>
      </c>
      <c r="AF597" s="48">
        <v>16.75</v>
      </c>
    </row>
    <row r="598" spans="28:32">
      <c r="AB598" s="15"/>
      <c r="AC598" s="15" t="str">
        <f t="shared" si="23"/>
        <v>Свыше 550015501–17500</v>
      </c>
      <c r="AD598" s="23" t="s">
        <v>259</v>
      </c>
      <c r="AE598" s="47" t="s">
        <v>241</v>
      </c>
      <c r="AF598" s="48">
        <v>18.5</v>
      </c>
    </row>
    <row r="599" spans="28:32">
      <c r="AB599" s="15"/>
      <c r="AC599" s="15" t="str">
        <f t="shared" si="23"/>
        <v>Свыше 550017501–19500</v>
      </c>
      <c r="AD599" s="23" t="s">
        <v>259</v>
      </c>
      <c r="AE599" s="47" t="s">
        <v>242</v>
      </c>
      <c r="AF599" s="48">
        <v>18.5</v>
      </c>
    </row>
    <row r="600" spans="28:32">
      <c r="AB600" s="15"/>
      <c r="AC600" s="15" t="str">
        <f t="shared" si="23"/>
        <v>Свыше 550019501–21500</v>
      </c>
      <c r="AD600" s="23" t="s">
        <v>259</v>
      </c>
      <c r="AE600" s="47" t="s">
        <v>243</v>
      </c>
      <c r="AF600" s="48">
        <v>20</v>
      </c>
    </row>
    <row r="601" spans="28:32">
      <c r="AC601" s="15" t="str">
        <f t="shared" si="23"/>
        <v>Свыше 550021501–23600</v>
      </c>
      <c r="AD601" s="23" t="s">
        <v>259</v>
      </c>
      <c r="AE601" s="47" t="s">
        <v>244</v>
      </c>
      <c r="AF601" s="48">
        <v>22</v>
      </c>
    </row>
  </sheetData>
  <mergeCells count="485">
    <mergeCell ref="C3:Q3"/>
    <mergeCell ref="P52:Q53"/>
    <mergeCell ref="P54:Q54"/>
    <mergeCell ref="P55:Q55"/>
    <mergeCell ref="P56:Q56"/>
    <mergeCell ref="P57:Q57"/>
    <mergeCell ref="P58:Q58"/>
    <mergeCell ref="P59:Q59"/>
    <mergeCell ref="P60:Q60"/>
    <mergeCell ref="P32:Q32"/>
    <mergeCell ref="C32:O32"/>
    <mergeCell ref="C34:O34"/>
    <mergeCell ref="P34:Q34"/>
    <mergeCell ref="P7:Q7"/>
    <mergeCell ref="M26:N26"/>
    <mergeCell ref="O26:Q26"/>
    <mergeCell ref="G19:L19"/>
    <mergeCell ref="C21:F21"/>
    <mergeCell ref="C22:F22"/>
    <mergeCell ref="C23:F23"/>
    <mergeCell ref="C24:F24"/>
    <mergeCell ref="C25:F25"/>
    <mergeCell ref="C29:F29"/>
    <mergeCell ref="C30:F30"/>
    <mergeCell ref="C381:O381"/>
    <mergeCell ref="C379:O379"/>
    <mergeCell ref="C375:O375"/>
    <mergeCell ref="C377:G377"/>
    <mergeCell ref="H377:Q377"/>
    <mergeCell ref="C373:O373"/>
    <mergeCell ref="C371:O371"/>
    <mergeCell ref="C359:O359"/>
    <mergeCell ref="C361:O361"/>
    <mergeCell ref="C367:O367"/>
    <mergeCell ref="C369:O369"/>
    <mergeCell ref="C383:O383"/>
    <mergeCell ref="C208:O209"/>
    <mergeCell ref="P208:Q209"/>
    <mergeCell ref="C210:O210"/>
    <mergeCell ref="P210:Q210"/>
    <mergeCell ref="C211:O211"/>
    <mergeCell ref="P211:Q211"/>
    <mergeCell ref="C212:O212"/>
    <mergeCell ref="P212:Q212"/>
    <mergeCell ref="C213:O213"/>
    <mergeCell ref="P213:Q213"/>
    <mergeCell ref="C214:O214"/>
    <mergeCell ref="P214:Q214"/>
    <mergeCell ref="C215:O215"/>
    <mergeCell ref="P215:Q215"/>
    <mergeCell ref="C216:O216"/>
    <mergeCell ref="P216:Q216"/>
    <mergeCell ref="C217:O217"/>
    <mergeCell ref="P217:Q217"/>
    <mergeCell ref="C219:O219"/>
    <mergeCell ref="P219:Q219"/>
    <mergeCell ref="C239:O239"/>
    <mergeCell ref="C241:O241"/>
    <mergeCell ref="C243:O243"/>
    <mergeCell ref="C155:O155"/>
    <mergeCell ref="P155:Q155"/>
    <mergeCell ref="C157:O157"/>
    <mergeCell ref="P157:Q157"/>
    <mergeCell ref="C159:O160"/>
    <mergeCell ref="P159:P160"/>
    <mergeCell ref="Q159:Q160"/>
    <mergeCell ref="C161:O161"/>
    <mergeCell ref="C162:O162"/>
    <mergeCell ref="C163:O163"/>
    <mergeCell ref="C164:O164"/>
    <mergeCell ref="C165:O165"/>
    <mergeCell ref="C166:O166"/>
    <mergeCell ref="C167:O167"/>
    <mergeCell ref="C168:O168"/>
    <mergeCell ref="C169:O169"/>
    <mergeCell ref="C170:O170"/>
    <mergeCell ref="C185:O186"/>
    <mergeCell ref="C178:O178"/>
    <mergeCell ref="C182:O182"/>
    <mergeCell ref="P178:Q178"/>
    <mergeCell ref="C179:O179"/>
    <mergeCell ref="P179:Q179"/>
    <mergeCell ref="C363:O363"/>
    <mergeCell ref="C365:O365"/>
    <mergeCell ref="P185:Q186"/>
    <mergeCell ref="C187:O187"/>
    <mergeCell ref="P187:Q187"/>
    <mergeCell ref="C188:O188"/>
    <mergeCell ref="P188:Q188"/>
    <mergeCell ref="C189:O189"/>
    <mergeCell ref="P189:Q189"/>
    <mergeCell ref="C190:O190"/>
    <mergeCell ref="P190:Q190"/>
    <mergeCell ref="C191:O191"/>
    <mergeCell ref="P191:Q191"/>
    <mergeCell ref="C192:O192"/>
    <mergeCell ref="P192:Q192"/>
    <mergeCell ref="C193:O193"/>
    <mergeCell ref="C353:O353"/>
    <mergeCell ref="C355:O355"/>
    <mergeCell ref="C221:O221"/>
    <mergeCell ref="P221:Q221"/>
    <mergeCell ref="C223:O223"/>
    <mergeCell ref="P223:Q223"/>
    <mergeCell ref="C225:O225"/>
    <mergeCell ref="P225:Q225"/>
    <mergeCell ref="C357:O357"/>
    <mergeCell ref="C151:O151"/>
    <mergeCell ref="P151:Q151"/>
    <mergeCell ref="P193:Q193"/>
    <mergeCell ref="C194:O194"/>
    <mergeCell ref="P194:Q194"/>
    <mergeCell ref="C195:O195"/>
    <mergeCell ref="P195:Q195"/>
    <mergeCell ref="C196:O196"/>
    <mergeCell ref="P196:Q196"/>
    <mergeCell ref="C347:O347"/>
    <mergeCell ref="P295:Q295"/>
    <mergeCell ref="P297:Q297"/>
    <mergeCell ref="P299:Q299"/>
    <mergeCell ref="P301:Q301"/>
    <mergeCell ref="P303:Q303"/>
    <mergeCell ref="P305:Q305"/>
    <mergeCell ref="P307:Q307"/>
    <mergeCell ref="C153:O153"/>
    <mergeCell ref="P153:Q153"/>
    <mergeCell ref="C183:O183"/>
    <mergeCell ref="P183:Q183"/>
    <mergeCell ref="C180:O180"/>
    <mergeCell ref="P180:Q180"/>
    <mergeCell ref="C349:O349"/>
    <mergeCell ref="C143:O143"/>
    <mergeCell ref="P143:Q143"/>
    <mergeCell ref="C351:O351"/>
    <mergeCell ref="C145:O145"/>
    <mergeCell ref="P145:Q145"/>
    <mergeCell ref="C341:O341"/>
    <mergeCell ref="C327:O327"/>
    <mergeCell ref="C329:O329"/>
    <mergeCell ref="C321:F321"/>
    <mergeCell ref="G321:O321"/>
    <mergeCell ref="C323:O323"/>
    <mergeCell ref="P289:Q289"/>
    <mergeCell ref="P291:Q291"/>
    <mergeCell ref="P293:Q293"/>
    <mergeCell ref="C147:O147"/>
    <mergeCell ref="P147:Q147"/>
    <mergeCell ref="C149:O149"/>
    <mergeCell ref="P149:Q149"/>
    <mergeCell ref="C181:O181"/>
    <mergeCell ref="P181:Q181"/>
    <mergeCell ref="P182:Q182"/>
    <mergeCell ref="C172:O173"/>
    <mergeCell ref="C343:O343"/>
    <mergeCell ref="C345:O345"/>
    <mergeCell ref="C139:O139"/>
    <mergeCell ref="P139:Q139"/>
    <mergeCell ref="C331:O331"/>
    <mergeCell ref="C333:O333"/>
    <mergeCell ref="C335:O335"/>
    <mergeCell ref="C337:O337"/>
    <mergeCell ref="C339:O339"/>
    <mergeCell ref="C317:O317"/>
    <mergeCell ref="C325:O325"/>
    <mergeCell ref="C141:O141"/>
    <mergeCell ref="P141:Q141"/>
    <mergeCell ref="P172:Q173"/>
    <mergeCell ref="C174:O174"/>
    <mergeCell ref="P174:Q174"/>
    <mergeCell ref="C175:O175"/>
    <mergeCell ref="P175:Q175"/>
    <mergeCell ref="C176:O176"/>
    <mergeCell ref="P176:Q176"/>
    <mergeCell ref="C177:O177"/>
    <mergeCell ref="P177:Q177"/>
    <mergeCell ref="C227:O227"/>
    <mergeCell ref="P227:Q227"/>
    <mergeCell ref="C103:O103"/>
    <mergeCell ref="P103:Q103"/>
    <mergeCell ref="C105:O105"/>
    <mergeCell ref="P105:Q105"/>
    <mergeCell ref="C297:O297"/>
    <mergeCell ref="C97:O97"/>
    <mergeCell ref="P97:Q97"/>
    <mergeCell ref="P283:Q283"/>
    <mergeCell ref="P285:Q285"/>
    <mergeCell ref="P287:Q287"/>
    <mergeCell ref="P273:Q273"/>
    <mergeCell ref="P275:Q275"/>
    <mergeCell ref="P277:Q277"/>
    <mergeCell ref="P279:Q279"/>
    <mergeCell ref="P125:Q125"/>
    <mergeCell ref="C127:O127"/>
    <mergeCell ref="P127:Q127"/>
    <mergeCell ref="C129:O129"/>
    <mergeCell ref="P129:Q129"/>
    <mergeCell ref="P255:Q255"/>
    <mergeCell ref="P257:Q257"/>
    <mergeCell ref="P259:Q259"/>
    <mergeCell ref="C299:O299"/>
    <mergeCell ref="P99:Q99"/>
    <mergeCell ref="C99:O99"/>
    <mergeCell ref="C101:O101"/>
    <mergeCell ref="P101:Q101"/>
    <mergeCell ref="C295:O295"/>
    <mergeCell ref="C293:O293"/>
    <mergeCell ref="C285:O285"/>
    <mergeCell ref="C287:O287"/>
    <mergeCell ref="C131:O131"/>
    <mergeCell ref="P131:Q131"/>
    <mergeCell ref="C135:O135"/>
    <mergeCell ref="P135:Q135"/>
    <mergeCell ref="C137:O137"/>
    <mergeCell ref="P137:Q137"/>
    <mergeCell ref="C235:Q235"/>
    <mergeCell ref="C198:O198"/>
    <mergeCell ref="C113:O113"/>
    <mergeCell ref="P113:Q113"/>
    <mergeCell ref="C231:O231"/>
    <mergeCell ref="P231:Q231"/>
    <mergeCell ref="C233:O233"/>
    <mergeCell ref="P233:Q233"/>
    <mergeCell ref="P281:Q281"/>
    <mergeCell ref="C95:O95"/>
    <mergeCell ref="P95:Q95"/>
    <mergeCell ref="C77:O77"/>
    <mergeCell ref="P77:Q77"/>
    <mergeCell ref="C79:O79"/>
    <mergeCell ref="P79:Q79"/>
    <mergeCell ref="C81:O81"/>
    <mergeCell ref="P81:Q81"/>
    <mergeCell ref="C83:O83"/>
    <mergeCell ref="P83:Q83"/>
    <mergeCell ref="C85:O85"/>
    <mergeCell ref="P85:Q85"/>
    <mergeCell ref="C89:O89"/>
    <mergeCell ref="P89:Q89"/>
    <mergeCell ref="C91:O91"/>
    <mergeCell ref="P91:Q91"/>
    <mergeCell ref="C93:O93"/>
    <mergeCell ref="P93:Q93"/>
    <mergeCell ref="C65:O65"/>
    <mergeCell ref="P65:Q65"/>
    <mergeCell ref="C67:O67"/>
    <mergeCell ref="P67:Q67"/>
    <mergeCell ref="P17:Q17"/>
    <mergeCell ref="G29:H29"/>
    <mergeCell ref="G30:H30"/>
    <mergeCell ref="P61:Q61"/>
    <mergeCell ref="P62:Q62"/>
    <mergeCell ref="P63:Q63"/>
    <mergeCell ref="M27:N27"/>
    <mergeCell ref="O27:Q27"/>
    <mergeCell ref="M28:N28"/>
    <mergeCell ref="O28:Q28"/>
    <mergeCell ref="C26:F26"/>
    <mergeCell ref="C27:F27"/>
    <mergeCell ref="C28:F28"/>
    <mergeCell ref="M22:N22"/>
    <mergeCell ref="O22:Q22"/>
    <mergeCell ref="M23:N23"/>
    <mergeCell ref="O23:Q23"/>
    <mergeCell ref="O24:Q24"/>
    <mergeCell ref="M25:N25"/>
    <mergeCell ref="O25:Q25"/>
    <mergeCell ref="G21:H21"/>
    <mergeCell ref="G22:H22"/>
    <mergeCell ref="G23:H23"/>
    <mergeCell ref="G24:H24"/>
    <mergeCell ref="G25:H25"/>
    <mergeCell ref="G26:H26"/>
    <mergeCell ref="G27:H27"/>
    <mergeCell ref="G28:H28"/>
    <mergeCell ref="C38:O38"/>
    <mergeCell ref="M19:N20"/>
    <mergeCell ref="M21:N21"/>
    <mergeCell ref="O19:Q20"/>
    <mergeCell ref="O21:Q21"/>
    <mergeCell ref="I26:L26"/>
    <mergeCell ref="I27:L27"/>
    <mergeCell ref="I28:L28"/>
    <mergeCell ref="I29:L29"/>
    <mergeCell ref="I30:L30"/>
    <mergeCell ref="I21:L21"/>
    <mergeCell ref="I22:L22"/>
    <mergeCell ref="I23:L23"/>
    <mergeCell ref="I24:L24"/>
    <mergeCell ref="I25:L25"/>
    <mergeCell ref="M29:N29"/>
    <mergeCell ref="O29:Q29"/>
    <mergeCell ref="M30:N30"/>
    <mergeCell ref="O30:Q30"/>
    <mergeCell ref="M24:N24"/>
    <mergeCell ref="C19:F20"/>
    <mergeCell ref="G20:H20"/>
    <mergeCell ref="I20:L20"/>
    <mergeCell ref="C46:O46"/>
    <mergeCell ref="P46:Q46"/>
    <mergeCell ref="C267:O267"/>
    <mergeCell ref="C7:O7"/>
    <mergeCell ref="C9:O9"/>
    <mergeCell ref="P9:Q9"/>
    <mergeCell ref="C11:O11"/>
    <mergeCell ref="P11:Q11"/>
    <mergeCell ref="C13:O13"/>
    <mergeCell ref="P13:Q13"/>
    <mergeCell ref="C15:O15"/>
    <mergeCell ref="P15:Q15"/>
    <mergeCell ref="C263:O263"/>
    <mergeCell ref="C44:O44"/>
    <mergeCell ref="P44:Q44"/>
    <mergeCell ref="C265:O265"/>
    <mergeCell ref="C259:O259"/>
    <mergeCell ref="C40:O40"/>
    <mergeCell ref="P40:Q40"/>
    <mergeCell ref="C261:O261"/>
    <mergeCell ref="C42:O42"/>
    <mergeCell ref="P42:Q42"/>
    <mergeCell ref="C36:O36"/>
    <mergeCell ref="P36:Q36"/>
    <mergeCell ref="C48:O48"/>
    <mergeCell ref="P48:Q48"/>
    <mergeCell ref="C58:I58"/>
    <mergeCell ref="C59:I59"/>
    <mergeCell ref="C60:I60"/>
    <mergeCell ref="C61:I61"/>
    <mergeCell ref="C57:I57"/>
    <mergeCell ref="P38:Q38"/>
    <mergeCell ref="C62:I62"/>
    <mergeCell ref="C63:I63"/>
    <mergeCell ref="C269:O269"/>
    <mergeCell ref="P218:Q218"/>
    <mergeCell ref="C253:O253"/>
    <mergeCell ref="C50:O50"/>
    <mergeCell ref="P50:Q50"/>
    <mergeCell ref="C52:I53"/>
    <mergeCell ref="C107:O107"/>
    <mergeCell ref="P107:Q107"/>
    <mergeCell ref="C109:O109"/>
    <mergeCell ref="P109:Q109"/>
    <mergeCell ref="C111:O111"/>
    <mergeCell ref="P111:Q111"/>
    <mergeCell ref="C257:O257"/>
    <mergeCell ref="C255:O255"/>
    <mergeCell ref="C218:O218"/>
    <mergeCell ref="C247:O247"/>
    <mergeCell ref="J52:J53"/>
    <mergeCell ref="K52:K53"/>
    <mergeCell ref="L52:O52"/>
    <mergeCell ref="C54:I54"/>
    <mergeCell ref="C55:I55"/>
    <mergeCell ref="C56:I56"/>
    <mergeCell ref="P75:Q75"/>
    <mergeCell ref="C87:O87"/>
    <mergeCell ref="P87:Q87"/>
    <mergeCell ref="C69:O69"/>
    <mergeCell ref="P69:Q69"/>
    <mergeCell ref="C71:O71"/>
    <mergeCell ref="P71:Q71"/>
    <mergeCell ref="C73:O73"/>
    <mergeCell ref="P73:Q73"/>
    <mergeCell ref="C75:O75"/>
    <mergeCell ref="C311:O311"/>
    <mergeCell ref="C115:O115"/>
    <mergeCell ref="P115:Q115"/>
    <mergeCell ref="C313:O313"/>
    <mergeCell ref="C117:O117"/>
    <mergeCell ref="P117:Q117"/>
    <mergeCell ref="C271:O271"/>
    <mergeCell ref="C303:O303"/>
    <mergeCell ref="C305:O305"/>
    <mergeCell ref="C307:O307"/>
    <mergeCell ref="C289:O289"/>
    <mergeCell ref="C291:O291"/>
    <mergeCell ref="C249:O249"/>
    <mergeCell ref="C248:O248"/>
    <mergeCell ref="P198:Q198"/>
    <mergeCell ref="C200:O200"/>
    <mergeCell ref="P200:Q200"/>
    <mergeCell ref="C202:O202"/>
    <mergeCell ref="P202:Q202"/>
    <mergeCell ref="C204:O204"/>
    <mergeCell ref="P204:Q204"/>
    <mergeCell ref="C206:O206"/>
    <mergeCell ref="C119:O119"/>
    <mergeCell ref="P119:Q119"/>
    <mergeCell ref="C319:O319"/>
    <mergeCell ref="C121:O121"/>
    <mergeCell ref="P121:Q121"/>
    <mergeCell ref="C309:O309"/>
    <mergeCell ref="C250:O250"/>
    <mergeCell ref="C283:O283"/>
    <mergeCell ref="C251:O251"/>
    <mergeCell ref="C281:O281"/>
    <mergeCell ref="C277:O277"/>
    <mergeCell ref="C279:O279"/>
    <mergeCell ref="C273:O273"/>
    <mergeCell ref="C123:O123"/>
    <mergeCell ref="P123:Q123"/>
    <mergeCell ref="C125:O125"/>
    <mergeCell ref="P206:Q206"/>
    <mergeCell ref="C245:O245"/>
    <mergeCell ref="C237:O237"/>
    <mergeCell ref="C315:O315"/>
    <mergeCell ref="C275:O275"/>
    <mergeCell ref="C301:O301"/>
    <mergeCell ref="C133:O133"/>
    <mergeCell ref="P133:Q133"/>
    <mergeCell ref="C229:O229"/>
    <mergeCell ref="P229:Q229"/>
    <mergeCell ref="P323:Q323"/>
    <mergeCell ref="P325:Q325"/>
    <mergeCell ref="P261:Q261"/>
    <mergeCell ref="P263:Q263"/>
    <mergeCell ref="P265:Q265"/>
    <mergeCell ref="P267:Q267"/>
    <mergeCell ref="P269:Q269"/>
    <mergeCell ref="P271:Q271"/>
    <mergeCell ref="P237:Q237"/>
    <mergeCell ref="P239:Q239"/>
    <mergeCell ref="P241:Q241"/>
    <mergeCell ref="P243:Q243"/>
    <mergeCell ref="P245:Q245"/>
    <mergeCell ref="P247:Q247"/>
    <mergeCell ref="P249:Q249"/>
    <mergeCell ref="P251:Q251"/>
    <mergeCell ref="P253:Q253"/>
    <mergeCell ref="S3:V4"/>
    <mergeCell ref="W3:X4"/>
    <mergeCell ref="S7:Y7"/>
    <mergeCell ref="S9:Y9"/>
    <mergeCell ref="S11:Y11"/>
    <mergeCell ref="S13:Y13"/>
    <mergeCell ref="S15:Y15"/>
    <mergeCell ref="P363:Q363"/>
    <mergeCell ref="P365:Q365"/>
    <mergeCell ref="P345:Q345"/>
    <mergeCell ref="P347:Q347"/>
    <mergeCell ref="P349:Q349"/>
    <mergeCell ref="P351:Q351"/>
    <mergeCell ref="P353:Q353"/>
    <mergeCell ref="P355:Q355"/>
    <mergeCell ref="P357:Q357"/>
    <mergeCell ref="P359:Q359"/>
    <mergeCell ref="P361:Q361"/>
    <mergeCell ref="P327:Q327"/>
    <mergeCell ref="P329:Q329"/>
    <mergeCell ref="P331:Q331"/>
    <mergeCell ref="P333:Q333"/>
    <mergeCell ref="P335:Q335"/>
    <mergeCell ref="P337:Q337"/>
    <mergeCell ref="C5:Q5"/>
    <mergeCell ref="C17:O17"/>
    <mergeCell ref="P381:Q381"/>
    <mergeCell ref="P383:Q383"/>
    <mergeCell ref="P385:Q385"/>
    <mergeCell ref="P387:Q387"/>
    <mergeCell ref="P389:Q389"/>
    <mergeCell ref="P391:Q391"/>
    <mergeCell ref="P367:Q367"/>
    <mergeCell ref="P369:Q369"/>
    <mergeCell ref="P371:Q371"/>
    <mergeCell ref="P373:Q373"/>
    <mergeCell ref="P375:Q375"/>
    <mergeCell ref="P379:Q379"/>
    <mergeCell ref="P339:Q339"/>
    <mergeCell ref="P341:Q341"/>
    <mergeCell ref="P343:Q343"/>
    <mergeCell ref="P309:Q309"/>
    <mergeCell ref="P311:Q311"/>
    <mergeCell ref="P313:Q313"/>
    <mergeCell ref="P315:Q315"/>
    <mergeCell ref="P317:Q317"/>
    <mergeCell ref="P319:Q319"/>
    <mergeCell ref="P321:Q321"/>
    <mergeCell ref="AQ394:AQ395"/>
    <mergeCell ref="AR394:BH394"/>
    <mergeCell ref="C385:G385"/>
    <mergeCell ref="C387:G387"/>
    <mergeCell ref="H385:O385"/>
    <mergeCell ref="H387:O387"/>
    <mergeCell ref="C389:G389"/>
    <mergeCell ref="H389:O389"/>
    <mergeCell ref="C391:G391"/>
    <mergeCell ref="H391:O391"/>
  </mergeCells>
  <phoneticPr fontId="2" type="noConversion"/>
  <conditionalFormatting sqref="O8:X8 P7:S7 O10:X10 R9 O12:X12 R11 O14:X14 R13 O16:X16 R15">
    <cfRule type="containsText" dxfId="17" priority="13" operator="containsText" text="Укажите при необходимости численность обучающихся">
      <formula>NOT(ISERROR(SEARCH("Укажите при необходимости численность обучающихся",O7)))</formula>
    </cfRule>
  </conditionalFormatting>
  <conditionalFormatting sqref="P9:Q9">
    <cfRule type="containsText" dxfId="16" priority="12" operator="containsText" text="Укажите численность обучающихся">
      <formula>NOT(ISERROR(SEARCH("Укажите численность обучающихся",P9)))</formula>
    </cfRule>
  </conditionalFormatting>
  <conditionalFormatting sqref="P11:Q11">
    <cfRule type="containsText" dxfId="15" priority="11" operator="containsText" text="Укажите численность обучающихся">
      <formula>NOT(ISERROR(SEARCH("Укажите численность обучающихся",P11)))</formula>
    </cfRule>
  </conditionalFormatting>
  <conditionalFormatting sqref="P13:Q13">
    <cfRule type="containsText" dxfId="14" priority="10" operator="containsText" text="Укажите численность обучающихся">
      <formula>NOT(ISERROR(SEARCH("Укажите численность обучающихся",P13)))</formula>
    </cfRule>
  </conditionalFormatting>
  <conditionalFormatting sqref="P15:Q15">
    <cfRule type="containsText" dxfId="13" priority="9" operator="containsText" text="Укажите численность обучающихся">
      <formula>NOT(ISERROR(SEARCH("Укажите численность обучающихся",P15)))</formula>
    </cfRule>
  </conditionalFormatting>
  <conditionalFormatting sqref="S9">
    <cfRule type="containsText" dxfId="12" priority="8" operator="containsText" text="Укажите при необходимости численность обучающихся">
      <formula>NOT(ISERROR(SEARCH("Укажите при необходимости численность обучающихся",S9)))</formula>
    </cfRule>
  </conditionalFormatting>
  <conditionalFormatting sqref="S11">
    <cfRule type="containsText" dxfId="11" priority="7" operator="containsText" text="Укажите при необходимости численность обучающихся">
      <formula>NOT(ISERROR(SEARCH("Укажите при необходимости численность обучающихся",S11)))</formula>
    </cfRule>
  </conditionalFormatting>
  <conditionalFormatting sqref="S13">
    <cfRule type="containsText" dxfId="10" priority="6" operator="containsText" text="Укажите при необходимости численность обучающихся">
      <formula>NOT(ISERROR(SEARCH("Укажите при необходимости численность обучающихся",S13)))</formula>
    </cfRule>
  </conditionalFormatting>
  <conditionalFormatting sqref="S15">
    <cfRule type="containsText" dxfId="9" priority="5" operator="containsText" text="Укажите при необходимости численность обучающихся">
      <formula>NOT(ISERROR(SEARCH("Укажите при необходимости численность обучающихся",S15)))</formula>
    </cfRule>
  </conditionalFormatting>
  <conditionalFormatting sqref="H385:O385">
    <cfRule type="containsText" dxfId="8" priority="4" operator="containsText" text="Проверьте данные в строках 221 и 223">
      <formula>NOT(ISERROR(SEARCH("Проверьте данные в строках 221 и 223",H385)))</formula>
    </cfRule>
  </conditionalFormatting>
  <conditionalFormatting sqref="H387:O387">
    <cfRule type="containsText" dxfId="7" priority="3" operator="containsText" text="Проверьте данные в строках 225 и 227">
      <formula>NOT(ISERROR(SEARCH("Проверьте данные в строках 225 и 227",H387)))</formula>
    </cfRule>
  </conditionalFormatting>
  <conditionalFormatting sqref="H389:O389">
    <cfRule type="containsText" dxfId="6" priority="2" operator="containsText" text="Проверьте данные в строках 229 и 231">
      <formula>NOT(ISERROR(SEARCH("Проверьте данные в строках 229 и 231",H389)))</formula>
    </cfRule>
  </conditionalFormatting>
  <conditionalFormatting sqref="H391:O391">
    <cfRule type="containsText" dxfId="5" priority="1" operator="containsText" text="Проверьте данные в строках 229 и 233">
      <formula>NOT(ISERROR(SEARCH("Проверьте данные в строках 229 и 233",H391)))</formula>
    </cfRule>
  </conditionalFormatting>
  <dataValidations count="9">
    <dataValidation type="list" allowBlank="1" showInputMessage="1" showErrorMessage="1" sqref="P36:Q36 P54:P63 P151:Q151 P149:Q149 P147:Q147 P145:Q145 P143:Q143 P141:Q141 P133:Q133 P131:Q131 P127:Q127 P123:Q123 P117:Q117 P115:Q115 P99:Q99 P50:Q50 P48:Q48 P46:Q46 P44:Q44 P42:Q42 P38:Q38">
      <formula1>$Z$33:$Z$34</formula1>
    </dataValidation>
    <dataValidation type="list" allowBlank="1" showInputMessage="1" showErrorMessage="1" sqref="P198:Q198">
      <formula1>$Z$197:$Z$199</formula1>
    </dataValidation>
    <dataValidation type="list" allowBlank="1" showInputMessage="1" showErrorMessage="1" sqref="P221:Q221">
      <formula1>$AF$384:$AF$391</formula1>
    </dataValidation>
    <dataValidation type="list" allowBlank="1" showInputMessage="1" showErrorMessage="1" sqref="P227:Q227">
      <formula1>$AI$384:$AI$386</formula1>
    </dataValidation>
    <dataValidation type="list" allowBlank="1" showInputMessage="1" showErrorMessage="1" sqref="P225:Q225">
      <formula1>$AH$384:$AH$386</formula1>
    </dataValidation>
    <dataValidation type="list" allowBlank="1" showInputMessage="1" showErrorMessage="1" sqref="P223:Q223">
      <formula1>$AG$384:$AG$387</formula1>
    </dataValidation>
    <dataValidation type="list" allowBlank="1" showInputMessage="1" showErrorMessage="1" sqref="P229:Q229">
      <formula1>$AO$397:$AO$414</formula1>
    </dataValidation>
    <dataValidation type="list" allowBlank="1" showInputMessage="1" showErrorMessage="1" sqref="P231:Q231">
      <formula1>$AB$396:$AB$413</formula1>
    </dataValidation>
    <dataValidation type="list" allowBlank="1" showInputMessage="1" showErrorMessage="1" sqref="P233:Q233">
      <formula1>$AI$396:$AI$410</formula1>
    </dataValidation>
  </dataValidations>
  <pageMargins left="0.39370078740157483" right="0.39370078740157483" top="0.39370078740157483" bottom="0.39370078740157483" header="0.35433070866141736" footer="0.35433070866141736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5" r:id="rId4" name="Button 221">
              <controlPr defaultSize="0" print="0" autoFill="0" autoPict="0" macro="[0]!Очистить_1">
                <anchor moveWithCells="1" sizeWithCells="1">
                  <from>
                    <xdr:col>13</xdr:col>
                    <xdr:colOff>609600</xdr:colOff>
                    <xdr:row>4</xdr:row>
                    <xdr:rowOff>19050</xdr:rowOff>
                  </from>
                  <to>
                    <xdr:col>16</xdr:col>
                    <xdr:colOff>600075</xdr:colOff>
                    <xdr:row>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B1:Y32"/>
  <sheetViews>
    <sheetView showGridLines="0" workbookViewId="0"/>
  </sheetViews>
  <sheetFormatPr defaultColWidth="9.140625" defaultRowHeight="15.75"/>
  <cols>
    <col min="1" max="2" width="0.85546875" style="36" customWidth="1"/>
    <col min="3" max="17" width="9.140625" style="36"/>
    <col min="18" max="18" width="0.7109375" style="36" customWidth="1"/>
    <col min="19" max="19" width="9.140625" style="36"/>
    <col min="20" max="20" width="9.140625" style="37"/>
    <col min="21" max="16384" width="9.140625" style="36"/>
  </cols>
  <sheetData>
    <row r="1" spans="2:25" ht="6" customHeight="1"/>
    <row r="2" spans="2:25" ht="6" customHeight="1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25" ht="96.75" customHeight="1">
      <c r="B3" s="40"/>
      <c r="C3" s="121" t="s">
        <v>278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40"/>
      <c r="S3" s="69" t="s">
        <v>216</v>
      </c>
      <c r="T3" s="69"/>
      <c r="U3" s="69"/>
      <c r="V3" s="69"/>
      <c r="W3" s="70">
        <f>SUM(P21:Q31)</f>
        <v>0</v>
      </c>
      <c r="X3" s="70"/>
    </row>
    <row r="4" spans="2:25" ht="21.6" customHeight="1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4"/>
      <c r="T4" s="44"/>
      <c r="U4" s="44"/>
      <c r="V4" s="44"/>
      <c r="W4" s="38"/>
      <c r="X4" s="38"/>
    </row>
    <row r="5" spans="2:25">
      <c r="B5" s="40"/>
      <c r="C5" s="65" t="s">
        <v>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40"/>
    </row>
    <row r="6" spans="2:25" ht="8.4499999999999993" customHeight="1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2:25">
      <c r="B7" s="40"/>
      <c r="C7" s="40" t="s">
        <v>218</v>
      </c>
      <c r="D7" s="40"/>
      <c r="E7" s="40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40"/>
      <c r="S7" s="123" t="str">
        <f>IF(F7="","Укажите наименование учреждения","")</f>
        <v>Укажите наименование учреждения</v>
      </c>
      <c r="T7" s="123"/>
      <c r="U7" s="123"/>
      <c r="V7" s="123"/>
      <c r="W7" s="123"/>
      <c r="X7" s="123"/>
      <c r="Y7" s="123"/>
    </row>
    <row r="8" spans="2:25" ht="7.15" customHeight="1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2:25" ht="15.6" customHeight="1">
      <c r="B9" s="40"/>
      <c r="C9" s="63" t="s">
        <v>9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73"/>
      <c r="Q9" s="73"/>
      <c r="R9" s="40"/>
    </row>
    <row r="10" spans="2:25" ht="8.4499999999999993" customHeight="1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2:25" ht="32.450000000000003" customHeight="1">
      <c r="B11" s="40"/>
      <c r="C11" s="63" t="s">
        <v>221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73"/>
      <c r="Q11" s="73"/>
      <c r="R11" s="40"/>
    </row>
    <row r="12" spans="2:25" ht="7.15" customHeight="1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2:25" ht="64.900000000000006" customHeight="1">
      <c r="B13" s="40"/>
      <c r="C13" s="63" t="s">
        <v>222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73"/>
      <c r="Q13" s="73"/>
      <c r="R13" s="40"/>
    </row>
    <row r="14" spans="2:25" ht="8.4499999999999993" customHeight="1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2:25" ht="49.5" customHeight="1">
      <c r="B15" s="40"/>
      <c r="C15" s="63" t="s">
        <v>223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73"/>
      <c r="Q15" s="73"/>
      <c r="R15" s="40"/>
    </row>
    <row r="16" spans="2:25" ht="8.4499999999999993" customHeight="1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2:24">
      <c r="B17" s="40"/>
      <c r="C17" s="65" t="s">
        <v>2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40"/>
    </row>
    <row r="18" spans="2:24" ht="7.9" customHeight="1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2:24">
      <c r="B19" s="40"/>
      <c r="C19" s="63" t="s">
        <v>3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7">
        <f>X19</f>
        <v>0</v>
      </c>
      <c r="Q19" s="67"/>
      <c r="R19" s="40"/>
      <c r="T19" s="39">
        <f>IF(F7&gt;0,1,0)</f>
        <v>0</v>
      </c>
      <c r="U19" s="18">
        <f t="shared" ref="U19" si="0">INT(T19)</f>
        <v>0</v>
      </c>
      <c r="V19" s="19">
        <f t="shared" ref="V19" si="1">T19-U19</f>
        <v>0</v>
      </c>
      <c r="W19" s="9">
        <f t="shared" ref="W19:W30" si="2">IF(AND(V19&gt;0,V19&lt;=0.13),0,IF(AND(V19&gt;0.13,V19&lt;=0.37),0.25,IF(AND(V19&gt;0.37,V19&lt;=0.62),0.5,IF(AND(V19&gt;0.62,V19&lt;=0.87),0.75,IF(V19&gt;0.87,1,0)))))</f>
        <v>0</v>
      </c>
      <c r="X19" s="19">
        <f t="shared" ref="X19" si="3">U19+W19</f>
        <v>0</v>
      </c>
    </row>
    <row r="20" spans="2:24" ht="5.45" customHeight="1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T20" s="39"/>
      <c r="U20" s="18">
        <f t="shared" ref="U20:U31" si="4">INT(T20)</f>
        <v>0</v>
      </c>
      <c r="V20" s="19">
        <f t="shared" ref="V20:V31" si="5">T20-U20</f>
        <v>0</v>
      </c>
      <c r="W20" s="9">
        <f t="shared" si="2"/>
        <v>0</v>
      </c>
      <c r="X20" s="19">
        <f t="shared" ref="X20:X31" si="6">U20+W20</f>
        <v>0</v>
      </c>
    </row>
    <row r="21" spans="2:24">
      <c r="B21" s="40"/>
      <c r="C21" s="63" t="s">
        <v>10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7">
        <f>X21</f>
        <v>0</v>
      </c>
      <c r="Q21" s="67"/>
      <c r="R21" s="40"/>
      <c r="T21" s="41">
        <f>IF(F7&gt;0,P9,0)</f>
        <v>0</v>
      </c>
      <c r="U21" s="18">
        <f t="shared" si="4"/>
        <v>0</v>
      </c>
      <c r="V21" s="19">
        <f t="shared" si="5"/>
        <v>0</v>
      </c>
      <c r="W21" s="9">
        <f t="shared" si="2"/>
        <v>0</v>
      </c>
      <c r="X21" s="19">
        <f t="shared" si="6"/>
        <v>0</v>
      </c>
    </row>
    <row r="22" spans="2:24" ht="5.45" customHeight="1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T22" s="39"/>
      <c r="U22" s="18">
        <f t="shared" si="4"/>
        <v>0</v>
      </c>
      <c r="V22" s="19">
        <f t="shared" si="5"/>
        <v>0</v>
      </c>
      <c r="W22" s="9">
        <f t="shared" si="2"/>
        <v>0</v>
      </c>
      <c r="X22" s="19">
        <f t="shared" si="6"/>
        <v>0</v>
      </c>
    </row>
    <row r="23" spans="2:24">
      <c r="B23" s="40"/>
      <c r="C23" s="63" t="s">
        <v>219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7">
        <f>X23</f>
        <v>0</v>
      </c>
      <c r="Q23" s="67"/>
      <c r="R23" s="40"/>
      <c r="T23" s="39">
        <f>IF(F7&gt;0,1,0)</f>
        <v>0</v>
      </c>
      <c r="U23" s="18">
        <f t="shared" si="4"/>
        <v>0</v>
      </c>
      <c r="V23" s="19">
        <f t="shared" si="5"/>
        <v>0</v>
      </c>
      <c r="W23" s="9">
        <f t="shared" si="2"/>
        <v>0</v>
      </c>
      <c r="X23" s="19">
        <f t="shared" si="6"/>
        <v>0</v>
      </c>
    </row>
    <row r="24" spans="2:24" ht="5.45" customHeight="1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T24" s="39"/>
      <c r="U24" s="18">
        <f t="shared" si="4"/>
        <v>0</v>
      </c>
      <c r="V24" s="19">
        <f t="shared" si="5"/>
        <v>0</v>
      </c>
      <c r="W24" s="9">
        <f t="shared" si="2"/>
        <v>0</v>
      </c>
      <c r="X24" s="19">
        <f t="shared" si="6"/>
        <v>0</v>
      </c>
    </row>
    <row r="25" spans="2:24">
      <c r="B25" s="40"/>
      <c r="C25" s="63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7">
        <f>X25</f>
        <v>0</v>
      </c>
      <c r="Q25" s="67"/>
      <c r="R25" s="40"/>
      <c r="T25" s="39">
        <f>IF(F7&gt;0,1,0)</f>
        <v>0</v>
      </c>
      <c r="U25" s="18">
        <f t="shared" si="4"/>
        <v>0</v>
      </c>
      <c r="V25" s="19">
        <f t="shared" si="5"/>
        <v>0</v>
      </c>
      <c r="W25" s="9">
        <f t="shared" si="2"/>
        <v>0</v>
      </c>
      <c r="X25" s="19">
        <f t="shared" si="6"/>
        <v>0</v>
      </c>
    </row>
    <row r="26" spans="2:24" ht="7.15" customHeight="1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T26" s="39"/>
      <c r="U26" s="18">
        <f t="shared" si="4"/>
        <v>0</v>
      </c>
      <c r="V26" s="19">
        <f t="shared" si="5"/>
        <v>0</v>
      </c>
      <c r="W26" s="9">
        <f t="shared" si="2"/>
        <v>0</v>
      </c>
      <c r="X26" s="19">
        <f t="shared" si="6"/>
        <v>0</v>
      </c>
    </row>
    <row r="27" spans="2:24">
      <c r="B27" s="40"/>
      <c r="C27" s="63" t="s">
        <v>220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7">
        <f>X27</f>
        <v>0</v>
      </c>
      <c r="Q27" s="67"/>
      <c r="R27" s="40"/>
      <c r="T27" s="39">
        <f>IF(F7&gt;0,P9,0)</f>
        <v>0</v>
      </c>
      <c r="U27" s="18">
        <f t="shared" si="4"/>
        <v>0</v>
      </c>
      <c r="V27" s="19">
        <f t="shared" si="5"/>
        <v>0</v>
      </c>
      <c r="W27" s="9">
        <f t="shared" si="2"/>
        <v>0</v>
      </c>
      <c r="X27" s="19">
        <f t="shared" si="6"/>
        <v>0</v>
      </c>
    </row>
    <row r="28" spans="2:24" ht="4.9000000000000004" customHeight="1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T28" s="39"/>
      <c r="U28" s="18">
        <f t="shared" si="4"/>
        <v>0</v>
      </c>
      <c r="V28" s="19">
        <f t="shared" si="5"/>
        <v>0</v>
      </c>
      <c r="W28" s="9">
        <f t="shared" si="2"/>
        <v>0</v>
      </c>
      <c r="X28" s="19">
        <f t="shared" si="6"/>
        <v>0</v>
      </c>
    </row>
    <row r="29" spans="2:24">
      <c r="B29" s="40"/>
      <c r="C29" s="63" t="s">
        <v>106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7">
        <f>X29</f>
        <v>0</v>
      </c>
      <c r="Q29" s="67"/>
      <c r="R29" s="40"/>
      <c r="T29" s="39">
        <f>IF(F7&gt;0,1,0)</f>
        <v>0</v>
      </c>
      <c r="U29" s="18">
        <f t="shared" si="4"/>
        <v>0</v>
      </c>
      <c r="V29" s="19">
        <f t="shared" si="5"/>
        <v>0</v>
      </c>
      <c r="W29" s="9">
        <f t="shared" si="2"/>
        <v>0</v>
      </c>
      <c r="X29" s="19">
        <f t="shared" si="6"/>
        <v>0</v>
      </c>
    </row>
    <row r="30" spans="2:24" ht="5.45" customHeight="1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T30" s="39"/>
      <c r="U30" s="18">
        <f t="shared" si="4"/>
        <v>0</v>
      </c>
      <c r="V30" s="19">
        <f t="shared" si="5"/>
        <v>0</v>
      </c>
      <c r="W30" s="9">
        <f t="shared" si="2"/>
        <v>0</v>
      </c>
      <c r="X30" s="19">
        <f t="shared" si="6"/>
        <v>0</v>
      </c>
    </row>
    <row r="31" spans="2:24">
      <c r="B31" s="40"/>
      <c r="C31" s="63" t="s">
        <v>64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7">
        <f>X31</f>
        <v>0</v>
      </c>
      <c r="Q31" s="67"/>
      <c r="R31" s="40"/>
      <c r="T31" s="39">
        <f>IF(F7&gt;0,P11,0)+IF(F7&gt;0,P13,0)+IF(F7&gt;0,P11,0)+IF(F7&gt;0,P15/900,0)</f>
        <v>0</v>
      </c>
      <c r="U31" s="18">
        <f t="shared" si="4"/>
        <v>0</v>
      </c>
      <c r="V31" s="19">
        <f t="shared" si="5"/>
        <v>0</v>
      </c>
      <c r="W31" s="9">
        <f>IF(AND(V31&gt;0,V31&lt;=0.13),0,IF(AND(V31&gt;0.13,V31&lt;=0.37),0.25,IF(AND(V31&gt;0.37,V31&lt;=0.62),0.5,IF(AND(V31&gt;0.62,V31&lt;=0.87),0.75,IF(V31&gt;0.87,1,0)))))</f>
        <v>0</v>
      </c>
      <c r="X31" s="19">
        <f t="shared" si="6"/>
        <v>0</v>
      </c>
    </row>
    <row r="32" spans="2:24" ht="6" customHeight="1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</sheetData>
  <mergeCells count="29">
    <mergeCell ref="S7:Y7"/>
    <mergeCell ref="C17:Q17"/>
    <mergeCell ref="S3:V3"/>
    <mergeCell ref="C9:O9"/>
    <mergeCell ref="P9:Q9"/>
    <mergeCell ref="W3:X3"/>
    <mergeCell ref="P23:Q23"/>
    <mergeCell ref="P21:Q21"/>
    <mergeCell ref="C19:O19"/>
    <mergeCell ref="P19:Q19"/>
    <mergeCell ref="C3:Q3"/>
    <mergeCell ref="C5:Q5"/>
    <mergeCell ref="F7:Q7"/>
    <mergeCell ref="C31:O31"/>
    <mergeCell ref="P31:Q31"/>
    <mergeCell ref="C11:O11"/>
    <mergeCell ref="P11:Q11"/>
    <mergeCell ref="C13:O13"/>
    <mergeCell ref="P13:Q13"/>
    <mergeCell ref="C15:O15"/>
    <mergeCell ref="P15:Q15"/>
    <mergeCell ref="C25:O25"/>
    <mergeCell ref="P25:Q25"/>
    <mergeCell ref="C27:O27"/>
    <mergeCell ref="P27:Q27"/>
    <mergeCell ref="C29:O29"/>
    <mergeCell ref="P29:Q29"/>
    <mergeCell ref="C21:O21"/>
    <mergeCell ref="C23:O23"/>
  </mergeCells>
  <phoneticPr fontId="2" type="noConversion"/>
  <conditionalFormatting sqref="S7:Y7">
    <cfRule type="containsText" dxfId="4" priority="5" operator="containsText" text="Укажите наименование учреждения">
      <formula>NOT(ISERROR(SEARCH("Укажите наименование учреждения",S7)))</formula>
    </cfRule>
  </conditionalFormatting>
  <conditionalFormatting sqref="P9:Q9">
    <cfRule type="containsText" dxfId="3" priority="4" operator="containsText" text="Укажите при необходимости численность обучающихся">
      <formula>NOT(ISERROR(SEARCH("Укажите при необходимости численность обучающихся",P9)))</formula>
    </cfRule>
  </conditionalFormatting>
  <conditionalFormatting sqref="P11:Q11">
    <cfRule type="containsText" dxfId="2" priority="3" operator="containsText" text="Укажите при необходимости численность обучающихся">
      <formula>NOT(ISERROR(SEARCH("Укажите при необходимости численность обучающихся",P11)))</formula>
    </cfRule>
  </conditionalFormatting>
  <conditionalFormatting sqref="P13:Q13">
    <cfRule type="containsText" dxfId="1" priority="2" operator="containsText" text="Укажите при необходимости численность обучающихся">
      <formula>NOT(ISERROR(SEARCH("Укажите при необходимости численность обучающихся",P13)))</formula>
    </cfRule>
  </conditionalFormatting>
  <conditionalFormatting sqref="P15:Q15">
    <cfRule type="containsText" dxfId="0" priority="1" operator="containsText" text="Укажите при необходимости численность обучающихся">
      <formula>NOT(ISERROR(SEARCH("Укажите при необходимости численность обучающихся",P15)))</formula>
    </cfRule>
  </conditionalFormatting>
  <pageMargins left="0.39370078740157483" right="0.39370078740157483" top="0.39370078740157483" bottom="0.39370078740157483" header="0.35433070866141736" footer="0.35433070866141736"/>
  <pageSetup paperSize="9" orientation="landscape" blackAndWhite="1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Очистить_2">
                <anchor moveWithCells="1" sizeWithCells="1">
                  <from>
                    <xdr:col>13</xdr:col>
                    <xdr:colOff>590550</xdr:colOff>
                    <xdr:row>3</xdr:row>
                    <xdr:rowOff>19050</xdr:rowOff>
                  </from>
                  <to>
                    <xdr:col>16</xdr:col>
                    <xdr:colOff>581025</xdr:colOff>
                    <xdr:row>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Инструкция</vt:lpstr>
      <vt:lpstr>Калькулятор №1</vt:lpstr>
      <vt:lpstr>Калькулятор № 2</vt:lpstr>
      <vt:lpstr>Инструкция!Область_печати</vt:lpstr>
      <vt:lpstr>'Калькулятор № 2'!Область_печати</vt:lpstr>
      <vt:lpstr>'Калькулятор №1'!Область_печати</vt:lpstr>
    </vt:vector>
  </TitlesOfParts>
  <Company>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Костюкевич Людмила</cp:lastModifiedBy>
  <cp:lastPrinted>2023-05-20T10:11:01Z</cp:lastPrinted>
  <dcterms:created xsi:type="dcterms:W3CDTF">2011-03-10T10:20:28Z</dcterms:created>
  <dcterms:modified xsi:type="dcterms:W3CDTF">2023-05-26T06:26:13Z</dcterms:modified>
</cp:coreProperties>
</file>